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ერეკლე\2023 წლის ობიექტები\ვენდი ვარკეთილი\ძირითადი ფაილები\"/>
    </mc:Choice>
  </mc:AlternateContent>
  <xr:revisionPtr revIDLastSave="0" documentId="13_ncr:1_{DDC1C7EE-1438-4BE1-B875-0B022258833A}" xr6:coauthVersionLast="45" xr6:coauthVersionMax="45" xr10:uidLastSave="{00000000-0000-0000-0000-000000000000}"/>
  <bookViews>
    <workbookView xWindow="-108" yWindow="-108" windowWidth="23256" windowHeight="12456" tabRatio="741" activeTab="1" xr2:uid="{00000000-000D-0000-FFFF-FFFF00000000}"/>
  </bookViews>
  <sheets>
    <sheet name="ჯამური" sheetId="4" r:id="rId1"/>
    <sheet name="მოსამზ." sheetId="10" r:id="rId2"/>
    <sheet name="დემონტაჟი" sheetId="6" r:id="rId3"/>
    <sheet name="კონსტრუქცია" sheetId="7" r:id="rId4"/>
    <sheet name="არქიტექტურა" sheetId="8" r:id="rId5"/>
    <sheet name="გარე ტერიტორია" sheetId="9" r:id="rId6"/>
  </sheets>
  <definedNames>
    <definedName name="_xlnm.Print_Area" localSheetId="1">მოსამზ.!$A$2:$K$27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0" l="1"/>
  <c r="J17" i="10"/>
  <c r="K17" i="10"/>
  <c r="F17" i="10"/>
  <c r="A1" i="9"/>
  <c r="A1" i="8"/>
  <c r="A1" i="7"/>
  <c r="D229" i="7"/>
  <c r="D228" i="7"/>
  <c r="D227" i="7"/>
  <c r="D214" i="7"/>
  <c r="D216" i="7" s="1"/>
  <c r="D208" i="7"/>
  <c r="D210" i="7" s="1"/>
  <c r="D203" i="7"/>
  <c r="D198" i="7"/>
  <c r="D200" i="7" s="1"/>
  <c r="D193" i="7"/>
  <c r="H243" i="7"/>
  <c r="J243" i="7"/>
  <c r="K243" i="7"/>
  <c r="F243" i="7"/>
  <c r="A193" i="7"/>
  <c r="C239" i="7"/>
  <c r="D234" i="7"/>
  <c r="D233" i="7"/>
  <c r="D230" i="7"/>
  <c r="D225" i="7"/>
  <c r="D224" i="7"/>
  <c r="D220" i="7"/>
  <c r="D219" i="7"/>
  <c r="D205" i="7"/>
  <c r="D204" i="7"/>
  <c r="D199" i="7"/>
  <c r="A197" i="7"/>
  <c r="A195" i="7" s="1"/>
  <c r="A198" i="7" s="1"/>
  <c r="A203" i="7" s="1"/>
  <c r="A208" i="7" s="1"/>
  <c r="A214" i="7" s="1"/>
  <c r="A223" i="7" s="1"/>
  <c r="A235" i="7" s="1"/>
  <c r="D195" i="7"/>
  <c r="D196" i="7" s="1"/>
  <c r="D194" i="7"/>
  <c r="D202" i="7" l="1"/>
  <c r="D197" i="7"/>
  <c r="D218" i="7"/>
  <c r="D209" i="7"/>
  <c r="D212" i="7"/>
  <c r="D215" i="7"/>
  <c r="D221" i="7"/>
  <c r="D222" i="7"/>
  <c r="D235" i="7"/>
  <c r="D207" i="7"/>
  <c r="D213" i="7"/>
  <c r="D240" i="7" l="1"/>
  <c r="D236" i="7"/>
  <c r="D238" i="7"/>
  <c r="D239" i="7" l="1"/>
  <c r="A148" i="8" l="1"/>
  <c r="A149" i="8" s="1"/>
  <c r="J19" i="6"/>
  <c r="K19" i="6" s="1"/>
  <c r="H19" i="6"/>
  <c r="F19" i="6"/>
  <c r="A19" i="6"/>
  <c r="A15" i="10"/>
  <c r="K18" i="10"/>
  <c r="D12" i="10"/>
  <c r="A13" i="10"/>
  <c r="K19" i="10" l="1"/>
  <c r="K20" i="10" l="1"/>
  <c r="K21" i="10" s="1"/>
  <c r="K22" i="10" l="1"/>
  <c r="K23" i="10" s="1"/>
  <c r="K24" i="10" l="1"/>
  <c r="K25" i="10" s="1"/>
  <c r="J5" i="10" l="1"/>
  <c r="K26" i="10"/>
  <c r="K27" i="10" s="1"/>
  <c r="D9" i="4" s="1"/>
  <c r="K244" i="7" l="1"/>
  <c r="K245" i="7" s="1"/>
  <c r="H150" i="8"/>
  <c r="J150" i="8"/>
  <c r="K150" i="8"/>
  <c r="F150" i="8"/>
  <c r="H132" i="9"/>
  <c r="J132" i="9"/>
  <c r="K132" i="9"/>
  <c r="K133" i="9" s="1"/>
  <c r="K134" i="9" s="1"/>
  <c r="F132" i="9"/>
  <c r="K151" i="8"/>
  <c r="K152" i="8" s="1"/>
  <c r="H20" i="6"/>
  <c r="J20" i="6"/>
  <c r="K20" i="6"/>
  <c r="F20" i="6"/>
  <c r="D20" i="8"/>
  <c r="D156" i="7"/>
  <c r="D155" i="7"/>
  <c r="D151" i="7" s="1"/>
  <c r="D158" i="7" s="1"/>
  <c r="D170" i="7"/>
  <c r="D165" i="7"/>
  <c r="D160" i="7"/>
  <c r="D39" i="8"/>
  <c r="D38" i="8"/>
  <c r="D37" i="8"/>
  <c r="D36" i="8"/>
  <c r="C143" i="8"/>
  <c r="D146" i="8"/>
  <c r="D18" i="9"/>
  <c r="D22" i="9"/>
  <c r="D29" i="9"/>
  <c r="D24" i="9"/>
  <c r="D116" i="7"/>
  <c r="D127" i="7"/>
  <c r="D115" i="7"/>
  <c r="D28" i="7"/>
  <c r="D23" i="7"/>
  <c r="D18" i="7"/>
  <c r="D126" i="8"/>
  <c r="D134" i="8"/>
  <c r="K21" i="6" l="1"/>
  <c r="K22" i="6" s="1"/>
  <c r="K135" i="9"/>
  <c r="K136" i="9" s="1"/>
  <c r="K153" i="8"/>
  <c r="K154" i="8" s="1"/>
  <c r="K246" i="7"/>
  <c r="K247" i="7" s="1"/>
  <c r="D153" i="7"/>
  <c r="D157" i="7"/>
  <c r="D152" i="7"/>
  <c r="D147" i="8"/>
  <c r="D143" i="8"/>
  <c r="D144" i="8"/>
  <c r="D19" i="9"/>
  <c r="D20" i="9"/>
  <c r="F15" i="6"/>
  <c r="F16" i="6"/>
  <c r="F17" i="6"/>
  <c r="F18" i="6"/>
  <c r="F14" i="6"/>
  <c r="D18" i="6"/>
  <c r="J18" i="6" s="1"/>
  <c r="D115" i="8"/>
  <c r="D119" i="8" s="1"/>
  <c r="C116" i="8"/>
  <c r="D101" i="8"/>
  <c r="D106" i="8"/>
  <c r="D27" i="8"/>
  <c r="D119" i="9"/>
  <c r="D123" i="9" s="1"/>
  <c r="D114" i="9"/>
  <c r="D129" i="9"/>
  <c r="D126" i="9"/>
  <c r="D125" i="9"/>
  <c r="D128" i="9" s="1"/>
  <c r="C125" i="9"/>
  <c r="C128" i="9" s="1"/>
  <c r="D118" i="9"/>
  <c r="D112" i="9"/>
  <c r="D109" i="9"/>
  <c r="D108" i="9"/>
  <c r="D111" i="9" s="1"/>
  <c r="C108" i="9"/>
  <c r="C111" i="9" s="1"/>
  <c r="D102" i="9"/>
  <c r="D104" i="9" s="1"/>
  <c r="D97" i="9"/>
  <c r="D101" i="9" s="1"/>
  <c r="D95" i="9"/>
  <c r="C91" i="9"/>
  <c r="C94" i="9" s="1"/>
  <c r="D92" i="9"/>
  <c r="K24" i="6" l="1"/>
  <c r="K23" i="6"/>
  <c r="K137" i="9"/>
  <c r="K138" i="9" s="1"/>
  <c r="K155" i="8"/>
  <c r="K156" i="8" s="1"/>
  <c r="K248" i="7"/>
  <c r="K249" i="7" s="1"/>
  <c r="H18" i="6"/>
  <c r="K18" i="6" s="1"/>
  <c r="D33" i="8"/>
  <c r="D117" i="8"/>
  <c r="D116" i="8"/>
  <c r="D120" i="9"/>
  <c r="D116" i="9"/>
  <c r="D121" i="9"/>
  <c r="D115" i="9"/>
  <c r="D106" i="9"/>
  <c r="D103" i="9"/>
  <c r="D98" i="9"/>
  <c r="D99" i="9"/>
  <c r="D91" i="9"/>
  <c r="D94" i="9" s="1"/>
  <c r="K25" i="6" l="1"/>
  <c r="K26" i="6"/>
  <c r="K139" i="9"/>
  <c r="K140" i="9" s="1"/>
  <c r="K157" i="8"/>
  <c r="K158" i="8" s="1"/>
  <c r="K250" i="7"/>
  <c r="K251" i="7" s="1"/>
  <c r="D85" i="9"/>
  <c r="D89" i="9" s="1"/>
  <c r="D33" i="9"/>
  <c r="D80" i="9"/>
  <c r="D84" i="9" s="1"/>
  <c r="D75" i="9"/>
  <c r="D79" i="9" s="1"/>
  <c r="D72" i="9"/>
  <c r="D71" i="9"/>
  <c r="D73" i="9"/>
  <c r="D65" i="9"/>
  <c r="D54" i="9"/>
  <c r="D56" i="9"/>
  <c r="D57" i="9" s="1"/>
  <c r="D45" i="9"/>
  <c r="D49" i="9" s="1"/>
  <c r="D66" i="9"/>
  <c r="D63" i="9"/>
  <c r="D62" i="9"/>
  <c r="C58" i="9"/>
  <c r="D55" i="9"/>
  <c r="D52" i="9"/>
  <c r="D51" i="9"/>
  <c r="C47" i="9"/>
  <c r="C43" i="9"/>
  <c r="D44" i="9"/>
  <c r="D43" i="9"/>
  <c r="D41" i="9"/>
  <c r="D40" i="9"/>
  <c r="D38" i="9"/>
  <c r="C36" i="9"/>
  <c r="D28" i="9"/>
  <c r="A15" i="9"/>
  <c r="D175" i="7"/>
  <c r="D176" i="7" s="1"/>
  <c r="D171" i="7"/>
  <c r="D162" i="7"/>
  <c r="D188" i="7"/>
  <c r="D187" i="7"/>
  <c r="D186" i="7"/>
  <c r="D191" i="7"/>
  <c r="D190" i="7"/>
  <c r="D185" i="7"/>
  <c r="D183" i="7"/>
  <c r="D182" i="7"/>
  <c r="D169" i="7"/>
  <c r="D48" i="7"/>
  <c r="D55" i="7" s="1"/>
  <c r="D15" i="7"/>
  <c r="A15" i="7"/>
  <c r="A17" i="7" s="1"/>
  <c r="D146" i="7"/>
  <c r="D147" i="7"/>
  <c r="D141" i="7"/>
  <c r="D150" i="7" s="1"/>
  <c r="D139" i="8"/>
  <c r="D133" i="8"/>
  <c r="D123" i="8"/>
  <c r="D121" i="8"/>
  <c r="D114" i="8"/>
  <c r="D113" i="8"/>
  <c r="D112" i="8"/>
  <c r="D111" i="8"/>
  <c r="D110" i="8"/>
  <c r="D108" i="8"/>
  <c r="D107" i="8"/>
  <c r="C107" i="8"/>
  <c r="D105" i="8"/>
  <c r="D103" i="8"/>
  <c r="D102" i="8"/>
  <c r="C102" i="8"/>
  <c r="C98" i="8"/>
  <c r="C92" i="8"/>
  <c r="C86" i="8"/>
  <c r="C82" i="8"/>
  <c r="D81" i="8"/>
  <c r="D84" i="8" s="1"/>
  <c r="C76" i="8"/>
  <c r="D75" i="8"/>
  <c r="D76" i="8" s="1"/>
  <c r="D74" i="8"/>
  <c r="D73" i="8"/>
  <c r="D72" i="8"/>
  <c r="D71" i="8"/>
  <c r="C71" i="8"/>
  <c r="D69" i="8"/>
  <c r="D68" i="8"/>
  <c r="C68" i="8"/>
  <c r="C62" i="8"/>
  <c r="C56" i="8"/>
  <c r="D61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4" i="8"/>
  <c r="D25" i="8"/>
  <c r="A20" i="8"/>
  <c r="D19" i="8"/>
  <c r="D106" i="7"/>
  <c r="D105" i="7"/>
  <c r="D104" i="7"/>
  <c r="D62" i="7"/>
  <c r="D61" i="7"/>
  <c r="D138" i="7"/>
  <c r="D137" i="7"/>
  <c r="D136" i="7"/>
  <c r="D135" i="7"/>
  <c r="D128" i="7"/>
  <c r="D126" i="7"/>
  <c r="D118" i="7"/>
  <c r="D119" i="7"/>
  <c r="D117" i="7"/>
  <c r="D114" i="7"/>
  <c r="D113" i="7"/>
  <c r="D85" i="7"/>
  <c r="D84" i="7"/>
  <c r="D83" i="7"/>
  <c r="D82" i="7"/>
  <c r="D72" i="7"/>
  <c r="D73" i="7"/>
  <c r="D71" i="7"/>
  <c r="D70" i="7"/>
  <c r="D65" i="7"/>
  <c r="D95" i="7"/>
  <c r="D94" i="7"/>
  <c r="D44" i="7"/>
  <c r="D43" i="7"/>
  <c r="D42" i="7"/>
  <c r="D41" i="7"/>
  <c r="D40" i="7"/>
  <c r="D39" i="7"/>
  <c r="K27" i="6" l="1"/>
  <c r="K28" i="6" s="1"/>
  <c r="K141" i="9"/>
  <c r="K142" i="9" s="1"/>
  <c r="K159" i="8"/>
  <c r="K160" i="8" s="1"/>
  <c r="K252" i="7"/>
  <c r="K253" i="7" s="1"/>
  <c r="D11" i="4" s="1"/>
  <c r="A27" i="8"/>
  <c r="A33" i="8" s="1"/>
  <c r="A46" i="8" s="1"/>
  <c r="A55" i="8" s="1"/>
  <c r="A61" i="8" s="1"/>
  <c r="D79" i="8"/>
  <c r="D80" i="8"/>
  <c r="D46" i="9"/>
  <c r="D86" i="9"/>
  <c r="D87" i="9"/>
  <c r="D47" i="9"/>
  <c r="D76" i="9"/>
  <c r="D77" i="9"/>
  <c r="D81" i="9"/>
  <c r="D82" i="9"/>
  <c r="D68" i="9"/>
  <c r="D69" i="9"/>
  <c r="D58" i="9"/>
  <c r="D60" i="9"/>
  <c r="D35" i="9"/>
  <c r="D36" i="9"/>
  <c r="D30" i="9"/>
  <c r="D31" i="9"/>
  <c r="D25" i="9"/>
  <c r="D15" i="9"/>
  <c r="D16" i="9" s="1"/>
  <c r="D14" i="9"/>
  <c r="A17" i="9"/>
  <c r="A18" i="9" s="1"/>
  <c r="A24" i="9" s="1"/>
  <c r="A29" i="9" s="1"/>
  <c r="A34" i="9" s="1"/>
  <c r="A39" i="9" s="1"/>
  <c r="A45" i="9" s="1"/>
  <c r="A50" i="9" s="1"/>
  <c r="A56" i="9" s="1"/>
  <c r="A61" i="9" s="1"/>
  <c r="A67" i="9" s="1"/>
  <c r="A75" i="9" s="1"/>
  <c r="A80" i="9" s="1"/>
  <c r="A85" i="9" s="1"/>
  <c r="A90" i="9" s="1"/>
  <c r="A97" i="9" s="1"/>
  <c r="A102" i="9" s="1"/>
  <c r="A107" i="9" s="1"/>
  <c r="A114" i="9" s="1"/>
  <c r="A119" i="9" s="1"/>
  <c r="A124" i="9" s="1"/>
  <c r="A130" i="9" s="1"/>
  <c r="A131" i="9" s="1"/>
  <c r="D26" i="9"/>
  <c r="D172" i="7"/>
  <c r="D174" i="7"/>
  <c r="D189" i="7"/>
  <c r="D177" i="7"/>
  <c r="D179" i="7"/>
  <c r="D180" i="7"/>
  <c r="D163" i="7"/>
  <c r="D164" i="7"/>
  <c r="D148" i="7"/>
  <c r="D166" i="7"/>
  <c r="D167" i="7"/>
  <c r="D161" i="7"/>
  <c r="D49" i="7"/>
  <c r="D52" i="7"/>
  <c r="D53" i="7" s="1"/>
  <c r="D54" i="7" s="1"/>
  <c r="D56" i="7"/>
  <c r="D50" i="7"/>
  <c r="D142" i="7"/>
  <c r="D143" i="7"/>
  <c r="D145" i="7"/>
  <c r="D149" i="7"/>
  <c r="D77" i="8"/>
  <c r="D85" i="8"/>
  <c r="D89" i="8" s="1"/>
  <c r="D14" i="8"/>
  <c r="D15" i="8"/>
  <c r="D17" i="8"/>
  <c r="D131" i="8"/>
  <c r="D59" i="8"/>
  <c r="D56" i="8"/>
  <c r="D57" i="8"/>
  <c r="D66" i="8"/>
  <c r="D65" i="8"/>
  <c r="D63" i="8"/>
  <c r="D62" i="8"/>
  <c r="D26" i="8"/>
  <c r="D140" i="8"/>
  <c r="D141" i="8"/>
  <c r="D60" i="8"/>
  <c r="D127" i="8"/>
  <c r="D128" i="8" s="1"/>
  <c r="D130" i="8"/>
  <c r="D18" i="8"/>
  <c r="D82" i="8"/>
  <c r="D132" i="8"/>
  <c r="D21" i="8"/>
  <c r="D135" i="8"/>
  <c r="D136" i="8" s="1"/>
  <c r="D22" i="8"/>
  <c r="D24" i="8"/>
  <c r="D138" i="8"/>
  <c r="D122" i="7"/>
  <c r="D130" i="7" s="1"/>
  <c r="D131" i="7"/>
  <c r="D139" i="7" s="1"/>
  <c r="D57" i="7"/>
  <c r="D63" i="7" s="1"/>
  <c r="D100" i="7"/>
  <c r="D101" i="7" s="1"/>
  <c r="D109" i="7"/>
  <c r="D121" i="7" s="1"/>
  <c r="D45" i="7"/>
  <c r="D74" i="7"/>
  <c r="D86" i="7"/>
  <c r="D99" i="7"/>
  <c r="D98" i="7"/>
  <c r="D97" i="7"/>
  <c r="D96" i="7"/>
  <c r="D93" i="7"/>
  <c r="D91" i="7"/>
  <c r="D90" i="7"/>
  <c r="D88" i="7"/>
  <c r="D87" i="7"/>
  <c r="D81" i="7"/>
  <c r="D79" i="7"/>
  <c r="D78" i="7"/>
  <c r="D66" i="7"/>
  <c r="D47" i="7"/>
  <c r="D46" i="7"/>
  <c r="D38" i="7"/>
  <c r="D36" i="7"/>
  <c r="D35" i="7"/>
  <c r="D33" i="7"/>
  <c r="D32" i="7"/>
  <c r="D30" i="7"/>
  <c r="D29" i="7"/>
  <c r="D27" i="7"/>
  <c r="D25" i="7"/>
  <c r="D24" i="7"/>
  <c r="D22" i="7"/>
  <c r="D20" i="7"/>
  <c r="D19" i="7"/>
  <c r="D16" i="7"/>
  <c r="D17" i="7"/>
  <c r="A18" i="7"/>
  <c r="A23" i="7" s="1"/>
  <c r="A28" i="7" s="1"/>
  <c r="A34" i="7" s="1"/>
  <c r="D14" i="7"/>
  <c r="K12" i="7"/>
  <c r="K29" i="6" l="1"/>
  <c r="K30" i="6" s="1"/>
  <c r="D13" i="4"/>
  <c r="J6" i="9"/>
  <c r="D12" i="4"/>
  <c r="J6" i="8"/>
  <c r="A67" i="8"/>
  <c r="A75" i="8" s="1"/>
  <c r="A81" i="8" s="1"/>
  <c r="A85" i="8" s="1"/>
  <c r="A91" i="8" s="1"/>
  <c r="A97" i="8" s="1"/>
  <c r="D87" i="8"/>
  <c r="D90" i="8"/>
  <c r="D86" i="8"/>
  <c r="D91" i="8"/>
  <c r="D96" i="8" s="1"/>
  <c r="D17" i="9"/>
  <c r="D140" i="7"/>
  <c r="D132" i="7"/>
  <c r="A48" i="7"/>
  <c r="A57" i="7" s="1"/>
  <c r="A65" i="7" s="1"/>
  <c r="A77" i="7" s="1"/>
  <c r="A89" i="7" s="1"/>
  <c r="A100" i="7" s="1"/>
  <c r="A109" i="7" s="1"/>
  <c r="A122" i="7" s="1"/>
  <c r="A131" i="7" s="1"/>
  <c r="A141" i="7" s="1"/>
  <c r="D107" i="7"/>
  <c r="D31" i="8"/>
  <c r="D32" i="8"/>
  <c r="D29" i="8"/>
  <c r="D28" i="8"/>
  <c r="D110" i="7"/>
  <c r="D133" i="7"/>
  <c r="D64" i="7"/>
  <c r="D102" i="7"/>
  <c r="D58" i="7"/>
  <c r="D59" i="7"/>
  <c r="D108" i="7"/>
  <c r="D123" i="7"/>
  <c r="D124" i="7"/>
  <c r="D129" i="7"/>
  <c r="D111" i="7"/>
  <c r="D120" i="7"/>
  <c r="D69" i="7"/>
  <c r="D75" i="7"/>
  <c r="D76" i="7"/>
  <c r="D67" i="7"/>
  <c r="D10" i="4" l="1"/>
  <c r="D14" i="4" s="1"/>
  <c r="J6" i="6"/>
  <c r="A151" i="7"/>
  <c r="A160" i="7" s="1"/>
  <c r="A162" i="7" s="1"/>
  <c r="A101" i="8"/>
  <c r="A106" i="8" s="1"/>
  <c r="D92" i="8"/>
  <c r="D93" i="8"/>
  <c r="D95" i="8"/>
  <c r="D97" i="8"/>
  <c r="D100" i="8" s="1"/>
  <c r="A15" i="6"/>
  <c r="H14" i="6"/>
  <c r="D15" i="4" l="1"/>
  <c r="D16" i="4" s="1"/>
  <c r="A164" i="7"/>
  <c r="A165" i="7"/>
  <c r="A170" i="7" s="1"/>
  <c r="A175" i="7" s="1"/>
  <c r="A181" i="7" s="1"/>
  <c r="A240" i="7" s="1"/>
  <c r="A241" i="7" s="1"/>
  <c r="A242" i="7" s="1"/>
  <c r="A115" i="8"/>
  <c r="A120" i="8" s="1"/>
  <c r="A126" i="8" s="1"/>
  <c r="A134" i="8" s="1"/>
  <c r="A142" i="8" s="1"/>
  <c r="D98" i="8"/>
  <c r="J14" i="6"/>
  <c r="K14" i="6" s="1"/>
  <c r="J17" i="6"/>
  <c r="H17" i="6"/>
  <c r="J16" i="6"/>
  <c r="H16" i="6"/>
  <c r="A16" i="6"/>
  <c r="A17" i="6" s="1"/>
  <c r="A18" i="6" s="1"/>
  <c r="J15" i="6"/>
  <c r="H15" i="6"/>
  <c r="D17" i="4" l="1"/>
  <c r="D18" i="4" s="1"/>
  <c r="K16" i="6"/>
  <c r="K15" i="6"/>
  <c r="K17" i="6"/>
  <c r="K12" i="6" l="1"/>
  <c r="J6" i="7" l="1"/>
  <c r="E18" i="4" l="1"/>
</calcChain>
</file>

<file path=xl/sharedStrings.xml><?xml version="1.0" encoding="utf-8"?>
<sst xmlns="http://schemas.openxmlformats.org/spreadsheetml/2006/main" count="1083" uniqueCount="246">
  <si>
    <t>საორიენტაციო ხარჯაღრიცხვა</t>
  </si>
  <si>
    <t>სახარჯთ. ღირებულება</t>
  </si>
  <si>
    <t>#</t>
  </si>
  <si>
    <t>სამუშაოთა დასახელება</t>
  </si>
  <si>
    <t>განზ.</t>
  </si>
  <si>
    <t>სულ</t>
  </si>
  <si>
    <t>მასალა</t>
  </si>
  <si>
    <t>ხელფასი</t>
  </si>
  <si>
    <t>მანქანა-მექანიზმები</t>
  </si>
  <si>
    <t>ჯამი</t>
  </si>
  <si>
    <t>ერთ.ფასი</t>
  </si>
  <si>
    <t>მიწის დამუშავება ექსკავატორით</t>
  </si>
  <si>
    <t>მ³</t>
  </si>
  <si>
    <t>ექსკავატორი</t>
  </si>
  <si>
    <t>ზედმეტი გრუნტის გატანა</t>
  </si>
  <si>
    <t>მიწის დამუშავება ხელით საპროექტო ნიშმულამდე</t>
  </si>
  <si>
    <t>შრომის დანახარჯები</t>
  </si>
  <si>
    <t>მასალა:</t>
  </si>
  <si>
    <t>ღორღი (ფრაქცია 0 - 40 მმ)</t>
  </si>
  <si>
    <t>ბეტონის მომზადების მოწყობა</t>
  </si>
  <si>
    <t>სხვა მანქანა</t>
  </si>
  <si>
    <t>ლარი</t>
  </si>
  <si>
    <t>ბეტონი ბ7.5</t>
  </si>
  <si>
    <t>სხვა მასალა</t>
  </si>
  <si>
    <t>ბეტონი B25</t>
  </si>
  <si>
    <t>არმატურა A500CØ10</t>
  </si>
  <si>
    <t>ტ</t>
  </si>
  <si>
    <t>საქსოვი მავთული</t>
  </si>
  <si>
    <t>კგ</t>
  </si>
  <si>
    <t>საყალიბე მასალა</t>
  </si>
  <si>
    <t>მ</t>
  </si>
  <si>
    <t>მ²</t>
  </si>
  <si>
    <t>ელექტროდი</t>
  </si>
  <si>
    <t>ლითონის ფურცელი სისქით 10მმ</t>
  </si>
  <si>
    <t>ცალი</t>
  </si>
  <si>
    <t>დღიური მუშები</t>
  </si>
  <si>
    <t>ბეტონის ტუმბო</t>
  </si>
  <si>
    <t>ჯამი:</t>
  </si>
  <si>
    <t>სატრანსპორტო ხარჯი მასალიდან</t>
  </si>
  <si>
    <t>უსაფრთხოების ხარჯები</t>
  </si>
  <si>
    <t>ზედნადები ხარჯები</t>
  </si>
  <si>
    <t>გეგმიური დაგროვება</t>
  </si>
  <si>
    <t>მდინარის ბალასტი</t>
  </si>
  <si>
    <t>ღორღის ფენის მოწყობა საძირკვლის ქვეშ h=10სმ</t>
  </si>
  <si>
    <t>ცელოფანი</t>
  </si>
  <si>
    <t>რკ/ბ კონსტრუქციების იზოლაცია გრუნტის შეხების ადგილებში</t>
  </si>
  <si>
    <t>ჰიდროიზოლაცია ლინოკრომი I ფენა</t>
  </si>
  <si>
    <t>ბიტუმის მასტიკა</t>
  </si>
  <si>
    <t>გაზი</t>
  </si>
  <si>
    <t>კონსტრუქცია</t>
  </si>
  <si>
    <t>არქიტექტურა</t>
  </si>
  <si>
    <r>
      <t>მ</t>
    </r>
    <r>
      <rPr>
        <sz val="10"/>
        <color theme="1"/>
        <rFont val="Calibri"/>
        <family val="2"/>
      </rPr>
      <t>³</t>
    </r>
  </si>
  <si>
    <t>ბლოკი 20x20x40</t>
  </si>
  <si>
    <t>ქვიშა-ცემენტის ხსნარი</t>
  </si>
  <si>
    <t>ფასადის კედლების შევსება მცირე ზომის ბეტონის ბლოკით</t>
  </si>
  <si>
    <r>
      <t>მ</t>
    </r>
    <r>
      <rPr>
        <sz val="10"/>
        <color theme="1"/>
        <rFont val="Calibri"/>
        <family val="2"/>
      </rPr>
      <t>²</t>
    </r>
  </si>
  <si>
    <r>
      <t>მ</t>
    </r>
    <r>
      <rPr>
        <b/>
        <sz val="10"/>
        <color theme="1"/>
        <rFont val="Calibri"/>
        <family val="2"/>
      </rPr>
      <t>²</t>
    </r>
  </si>
  <si>
    <t>შრომის დანახარჯი</t>
  </si>
  <si>
    <t xml:space="preserve">მასალა: </t>
  </si>
  <si>
    <t>აირი</t>
  </si>
  <si>
    <t>ანტიკონდენსაციური მემბრანის მოწყობა სახურავზე</t>
  </si>
  <si>
    <t>ლინოკრომი I ფენა</t>
  </si>
  <si>
    <t>XPS ფილა სისქით 5სმ</t>
  </si>
  <si>
    <t>სახურავზე დათბუნების მოწყობა XPS ფილებით</t>
  </si>
  <si>
    <t>ქვიშა (შავი)</t>
  </si>
  <si>
    <t>სახურავზე მომასწორებელი ფენის მოწყობა (ქანობებისთვის)</t>
  </si>
  <si>
    <t>სახურავზე გეოტექსტილის ფენის მოწყობა</t>
  </si>
  <si>
    <t>გეოტექსტილი (350 გრ /მ2)</t>
  </si>
  <si>
    <t>გადატუმბვადი</t>
  </si>
  <si>
    <t>სახურავზე მოჭიმვის მოწყობა ქვიშა-ცემენტის ხსნარით</t>
  </si>
  <si>
    <t>პოლიურეთანის ჰიდროიზოლაცია</t>
  </si>
  <si>
    <t>პარაპეტის მოწყობა მცირე ზომის ბეტონის ბლოკით</t>
  </si>
  <si>
    <t xml:space="preserve">იატაკებზე მომასწორებელი ფენის მოწყობა </t>
  </si>
  <si>
    <t>კედლების მოპირკეთება ალუმინის დეკორატიული პანელებით</t>
  </si>
  <si>
    <t>ორთქლსაიზოლაციო მემბრანა , ქარის და წყალდამცავი , ცალმხრივი მოქმედების</t>
  </si>
  <si>
    <t>სილიკონი (310 მლ, ქილებში)</t>
  </si>
  <si>
    <t>მოსაპირკეთებელი კომპოზიტური პანელი (Wood look aluminium cladding)</t>
  </si>
  <si>
    <t>მოსაპირკეთებელი კომპოზიტური პანელი (Aluminium composite panels -red)</t>
  </si>
  <si>
    <t>მოსაპირკეთებელი კომპოზიტური პანელი (Aluminium composite panels -gray)</t>
  </si>
  <si>
    <t>მოსაპირკეთებელი კომპოზიტური პანელი (Canopy element - silver)</t>
  </si>
  <si>
    <t xml:space="preserve">სახურავის ჰიდროიზოლაცია პოლიურეთანის ჰიდროიზოლაციით </t>
  </si>
  <si>
    <t>ალუმინის ფანჯარა</t>
  </si>
  <si>
    <t>ალუმინის ვიტრაჟები</t>
  </si>
  <si>
    <t>ლითონის სამაგრები</t>
  </si>
  <si>
    <t>ლითონის დამხმარე კონსტრუქციები</t>
  </si>
  <si>
    <t>ალუმინის ფანჯრების მონტაჟი და ღირებულება (იხ.სპეციფიკაცია)</t>
  </si>
  <si>
    <t>ალუმინის ვიტრაჟების მონტაჟი და ღირებულება (იხ.სპეციფიკაცია)</t>
  </si>
  <si>
    <t xml:space="preserve">წყალსაწრეტი მილების მოწყობა პლასტმასის მილებით </t>
  </si>
  <si>
    <t>პლასტმასის მილი Ø100</t>
  </si>
  <si>
    <t>მუხლი</t>
  </si>
  <si>
    <t xml:space="preserve">ძაბრი </t>
  </si>
  <si>
    <t>სჭვალი</t>
  </si>
  <si>
    <t>ხის კოჭი 5x5</t>
  </si>
  <si>
    <t>პარაპეტის ქუდების მოწყობა თუნუქით</t>
  </si>
  <si>
    <t>თუნუქი გლუვი სისქე 0,5მმ</t>
  </si>
  <si>
    <t>პარაპეტის კედლების ლესვა ორივე მხრიდან ქვიშა-ცემენტის ხსნარით</t>
  </si>
  <si>
    <t>თუნუქის ჩაფენვის მოწყობა პარაპეტსა და სახურავს შორის h-30</t>
  </si>
  <si>
    <t>დამცავი მემბრანა</t>
  </si>
  <si>
    <t>სამაგრი</t>
  </si>
  <si>
    <t xml:space="preserve">მიმმართველი პროფილი მზიდი (ალუმინის მილკვადრატი 20x40x1,8) </t>
  </si>
  <si>
    <t>გრძ/მ</t>
  </si>
  <si>
    <t>სამაგრი კრონშტეინი AD-31180</t>
  </si>
  <si>
    <t>თერმოგამყოფი TS 031</t>
  </si>
  <si>
    <t>კასეტის კუთხის შემკრავი</t>
  </si>
  <si>
    <t>ალუმინის პროფილი A-08</t>
  </si>
  <si>
    <t>ანკერები</t>
  </si>
  <si>
    <t>იზოლაციის სამაგრი ლურსმანი</t>
  </si>
  <si>
    <t>ალუმინის კუთხოვანა (20x40x1,2)</t>
  </si>
  <si>
    <t>მოქლონი</t>
  </si>
  <si>
    <t xml:space="preserve">თვითმჭრელი სჭვალი </t>
  </si>
  <si>
    <r>
      <t xml:space="preserve">საჭრელი ქვა </t>
    </r>
    <r>
      <rPr>
        <sz val="10"/>
        <color theme="1"/>
        <rFont val="Calibri"/>
        <family val="2"/>
      </rPr>
      <t>Ø125</t>
    </r>
  </si>
  <si>
    <t>მეტალის ბურღი</t>
  </si>
  <si>
    <t>ბურღი ბეტონის</t>
  </si>
  <si>
    <t>ბალასტის ფენის მოწყობა საძირკვლის ქვეშ h=30 სმ</t>
  </si>
  <si>
    <t>მსხვილმარცვლოვანი ასფალტობეტონი</t>
  </si>
  <si>
    <t>წვრილმარცვლოვანი ასფალტობეტონი</t>
  </si>
  <si>
    <t>დამკვეთი:</t>
  </si>
  <si>
    <t>შ.პ.ს "ვ-ჯეო რესტორნები"</t>
  </si>
  <si>
    <t xml:space="preserve">მის: </t>
  </si>
  <si>
    <t>სამშენებლო ნაწილი</t>
  </si>
  <si>
    <t>თვე</t>
  </si>
  <si>
    <t>გაუთვალისწინებელი ხარჯები</t>
  </si>
  <si>
    <t>კრებსითი ხარჯთაღრიცხვა</t>
  </si>
  <si>
    <t>კურსი</t>
  </si>
  <si>
    <t>სამუშოების ჩამონათვალი</t>
  </si>
  <si>
    <t>ჯამი (GEL)</t>
  </si>
  <si>
    <t xml:space="preserve">ჯამი (USD) </t>
  </si>
  <si>
    <t>მოსამზადებელი სამუშაოები</t>
  </si>
  <si>
    <t>დღგ</t>
  </si>
  <si>
    <t>არსებული გადახურვების დემონტაჟი და გატანა</t>
  </si>
  <si>
    <t>ბლოკის კედლების დემონტაჟი და გატანა</t>
  </si>
  <si>
    <t>დემონტაჟი</t>
  </si>
  <si>
    <t>ტ.</t>
  </si>
  <si>
    <t>შენობებზე კარ-ფანჯრების დემონტაჟი</t>
  </si>
  <si>
    <t>შენობების ფუნდამენტების და ტერიტორიაზე არსებული ბეტონის სხვადასხვა  ნაკეთობების დემონტაჟი და გატანა</t>
  </si>
  <si>
    <t>მონოლითური რკ/ბ საძირკვლის ფილის მოწყობა▼-4,10</t>
  </si>
  <si>
    <t>არმატურა A500CØ8</t>
  </si>
  <si>
    <t>არმატურა A500CØ12</t>
  </si>
  <si>
    <t>არმატურა A500CØ20</t>
  </si>
  <si>
    <t>არმატურა A500CØ22</t>
  </si>
  <si>
    <t>არმატურა A500CØ25</t>
  </si>
  <si>
    <t>მონოლითური რკ/ბ გადახურვის ფილის მოწყობა▼4,40</t>
  </si>
  <si>
    <t>არმატურა A500CØ16</t>
  </si>
  <si>
    <t>არმატურა A500C Ø12</t>
  </si>
  <si>
    <t>არმატურა A500C Ø8</t>
  </si>
  <si>
    <t>მონოლითური რკ/ბ სვეტის (სვ-1) (სვ-2) (სვ-3) მოწყობა</t>
  </si>
  <si>
    <t>არმატურა A500CØ18</t>
  </si>
  <si>
    <t>ჩასატანებელი დეტალების (ჩ.დ. - 1) მოწყობა</t>
  </si>
  <si>
    <t>ლითონის ფურცელი სისქით 8მმ</t>
  </si>
  <si>
    <t>ანკერი A500CØ18</t>
  </si>
  <si>
    <t>სავურავის ლითონ კონსტრუქციების მოწყობა</t>
  </si>
  <si>
    <t>ფოლადის ორტესებრი IPE 300 C235</t>
  </si>
  <si>
    <t>კვადრატული მილი 120x60x4 C235</t>
  </si>
  <si>
    <t>კვადრატული მილი 100x100x4 C235</t>
  </si>
  <si>
    <t>კვადრატული მილი 60x60x4 C235</t>
  </si>
  <si>
    <t>ფოლადის კუთხოვანი 100x100x4 C235</t>
  </si>
  <si>
    <t>ლითონის ფურცელი</t>
  </si>
  <si>
    <t>საანკერე ჭანჭიკი</t>
  </si>
  <si>
    <t>საკედლე გრძივების ლითონ კონსტრუქციების მოწყობა</t>
  </si>
  <si>
    <t>ფოლადის კუთხოვანი 120x60x4 C235</t>
  </si>
  <si>
    <t>ფოლადის კუთხოვანი 80x80x4 C235</t>
  </si>
  <si>
    <t>ფოლადის კიბის კონსტრუქციების მოწყობა</t>
  </si>
  <si>
    <t>ფოლადის შველერი UPE 180 C235</t>
  </si>
  <si>
    <t>ფოლადის კუთხოვანი 60x60x4 C235</t>
  </si>
  <si>
    <t>ლითონის ფურცელი სისქით 4მმ</t>
  </si>
  <si>
    <t>ჩასატანებელი დეტალების (ჩ.დ. - 1)  (ჩ.დ. - 2)  (ჩ.დ. - 3)  (ჩ.დ. - 4) მოწყობა</t>
  </si>
  <si>
    <t>ლითონის ფურცელი სისქით 14მმ</t>
  </si>
  <si>
    <t>მონოლითური რკ/ბ რიგელის  მოწყობა მოწყობა</t>
  </si>
  <si>
    <t>არქიტექტურული ნაწილი</t>
  </si>
  <si>
    <t>კონსტრუქციული ნაწილი</t>
  </si>
  <si>
    <t>პარაპეტზე მონოლითური რკ/ბ გულარებისა და სარტყელის მოწყობა</t>
  </si>
  <si>
    <t>ბალასტის ფენის მოწყობა საძირკვლის ქვეშ h=100 სმ</t>
  </si>
  <si>
    <t>საყრდენი კედელი და პანდუსი</t>
  </si>
  <si>
    <t>მონოლითური რკ/ბ საყრდენი კედლისა და პანდუსის მოწყობა</t>
  </si>
  <si>
    <t>არმატურა A500CØ14</t>
  </si>
  <si>
    <t>გარე ტერიტორია</t>
  </si>
  <si>
    <t>ასფალტით მოპირკეთება</t>
  </si>
  <si>
    <t>ქვიშა-ხრეშოვანი ქვედა ფენის მოწყობა საფუძვლის ფენად h=25 სმ</t>
  </si>
  <si>
    <t>ღორღის (ფრაქცია 0 - 40 მმ) ზედა ფენის მოწყობა h=12სმ</t>
  </si>
  <si>
    <t>ქვიშა-ხრეშოვანი ნარევი</t>
  </si>
  <si>
    <t>თხევადი ბიტუმის მოსხმა (0,6ლ/მ²)</t>
  </si>
  <si>
    <t>თხევადი ბიტუმი</t>
  </si>
  <si>
    <t>მსხვილმარცვლოვანი ა/ბ საფარის ქვედა ფენის მოწყობა სისქით 5 სმ.</t>
  </si>
  <si>
    <t>თხევადი ბიტუმის მოსხმა (0,3ლ/მ²)</t>
  </si>
  <si>
    <t>მსხვილმარცვლოვანი ა/ბ საფარის ზედა ფენის მოწყობა სისქით 4 სმ.</t>
  </si>
  <si>
    <t>ბეტონის ბორდიურების მოწყობა ბეტონის საფუძველზე</t>
  </si>
  <si>
    <t>ბეტონი მ200</t>
  </si>
  <si>
    <t>ბეტონის ბორდიური ზომით (0,15X0,3) მ.</t>
  </si>
  <si>
    <t>გზის და მოედნის მოწყობა დეკორატიული ფილებით გამწვანებით</t>
  </si>
  <si>
    <t>ქვიშა-ხრეშოვანი ქვედა ფენის მოწყობა საფუძვლის ფენად h=20 სმ</t>
  </si>
  <si>
    <t>ქვიშის ფენის მოწყობა h=8სმ</t>
  </si>
  <si>
    <t>ქვიშა</t>
  </si>
  <si>
    <t>გამწვანებილი  ფილების ქვაფენილის მოწყობა</t>
  </si>
  <si>
    <t>გამწვანებილი  ფილების ქვაფენილი სისქით 8 სმ.</t>
  </si>
  <si>
    <t>ტროტუარები და  ბილიკების მოწყობა ფილებით</t>
  </si>
  <si>
    <t>ღორღის (ფრაქცია 0 - 40 მმ) საფუძვლის ფენის მოწყობა h=10სმ</t>
  </si>
  <si>
    <t>ღორღის (ფრაქცია 0 - 40 მმ) ზედა ფენის მოწყობა h=10სმ</t>
  </si>
  <si>
    <r>
      <t>ქვიშა-ცემენტის ნარევის (8</t>
    </r>
    <r>
      <rPr>
        <b/>
        <sz val="10"/>
        <color theme="1"/>
        <rFont val="Calibri"/>
        <family val="2"/>
        <charset val="204"/>
      </rPr>
      <t>꞉</t>
    </r>
    <r>
      <rPr>
        <b/>
        <sz val="10"/>
        <color theme="1"/>
        <rFont val="Calibri"/>
        <family val="2"/>
      </rPr>
      <t>1) ფენის მოწყობა h=8სმ</t>
    </r>
  </si>
  <si>
    <t>ქვიშა-ცემენტის ნარევი (8꞉1)</t>
  </si>
  <si>
    <t>ფილების ქვაფენილის მოწყობა</t>
  </si>
  <si>
    <t>დეკორატიული ფილების ქვაფენილი სისქით 5 სმ.</t>
  </si>
  <si>
    <t>შნობის კედელთან გამწვანებიანი ფილების მოწყობა</t>
  </si>
  <si>
    <t>გამწვანებილი  ფილების ქვაფენილი სისქით 5 სმ.</t>
  </si>
  <si>
    <t>სამშენებლო ნარჩენების გატანა</t>
  </si>
  <si>
    <t>ლითონის კარებების მონტაჟი და ღირებულება (იხ.სპეციფიკაცია)</t>
  </si>
  <si>
    <t>ლითონის კარები</t>
  </si>
  <si>
    <t>ტერიტორიაზე ქვიშა-ხრეშოვანი ფენის მოწყობა (ნიშნულზე მოყვანისათვის)</t>
  </si>
  <si>
    <t>გარე ტერასაზე ხის მოჩარჩოების მოწყობა</t>
  </si>
  <si>
    <t>ხის ფაქტურის მასალა</t>
  </si>
  <si>
    <t>დემონტაჟის სამუშაოები</t>
  </si>
  <si>
    <t>მოჭიმვის მოწყობა ქვიშა-ცემენტის ხსნარით (სველი წერტილების გამოკლებით)</t>
  </si>
  <si>
    <t>ფოლადის კონსტრუქციების მოწყობა (ტერასის გადახურვებში)</t>
  </si>
  <si>
    <t>გაუთვალისწინებელი სამუშაოები</t>
  </si>
  <si>
    <t xml:space="preserve"> </t>
  </si>
  <si>
    <t>$</t>
  </si>
  <si>
    <t>სამუშაოს დასახელება</t>
  </si>
  <si>
    <t>განზ. 
ერთ.</t>
  </si>
  <si>
    <t>რაოდ.</t>
  </si>
  <si>
    <t>ერთ. ფასი</t>
  </si>
  <si>
    <t>სულ 
ფასი</t>
  </si>
  <si>
    <t>დროებითი ღობის მოწყობა</t>
  </si>
  <si>
    <t>დროებითი ელექტრომომარაგების მოწყობა</t>
  </si>
  <si>
    <t>დროებითი საოფისე კონტეინერის მოწყობა</t>
  </si>
  <si>
    <t>დროებითი სასაწყობე კონტეინერის მოწყობა</t>
  </si>
  <si>
    <t>დროებითი ბიოტუალეტის მოწყობა</t>
  </si>
  <si>
    <t>ამწეს მომსახურება</t>
  </si>
  <si>
    <t>მანქ/დღე</t>
  </si>
  <si>
    <t>კ/დღე</t>
  </si>
  <si>
    <t xml:space="preserve">გრუნტის დამუშავება ექსკავატორით სარეკლამო ბანერებისათვის </t>
  </si>
  <si>
    <t>მიწის დამუშავება ხელით</t>
  </si>
  <si>
    <t>ბალასტის ფენის მოწყობა ფუნდამენტის ქვეშ h=20 სმ</t>
  </si>
  <si>
    <t>მონოლითური რკ/ბ წერტილოვანი საძირკვლის  მოწყობა▼-3.60</t>
  </si>
  <si>
    <t>არმატურა A500C Ø16</t>
  </si>
  <si>
    <t>ლითონის ჩასატანებელი კონსტრუქციების მოწყობა</t>
  </si>
  <si>
    <t>ლითონის ფურცელი სისქით 16მმ</t>
  </si>
  <si>
    <t>ლითონის ფურცელი სისქით 30მმ</t>
  </si>
  <si>
    <t>ლითონის ფურცელი სისქით 40მმ</t>
  </si>
  <si>
    <t>ანკერი A500CØ32</t>
  </si>
  <si>
    <t>საყელური M30</t>
  </si>
  <si>
    <t>ქანჩი M30</t>
  </si>
  <si>
    <t>ბალასტით ქვაბულის შევსება დატკეპვნით</t>
  </si>
  <si>
    <t>ბალასტი</t>
  </si>
  <si>
    <t>სატკეპნი</t>
  </si>
  <si>
    <t>სარეკლამო აბრების კონსტრუქცია</t>
  </si>
  <si>
    <t>Wendy ვარკეთილი</t>
  </si>
  <si>
    <r>
      <rPr>
        <b/>
        <sz val="14"/>
        <rFont val="Arial"/>
        <family val="2"/>
        <charset val="204"/>
      </rPr>
      <t>Wendy</t>
    </r>
    <r>
      <rPr>
        <b/>
        <sz val="14"/>
        <rFont val="AcadNusx"/>
      </rPr>
      <t xml:space="preserve"> ვარკეთილი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</si>
</sst>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-* #,##0.00\ &quot;₽&quot;_-;\-* #,##0.00\ &quot;₽&quot;_-;_-* &quot;-&quot;??\ &quot;₽&quot;_-;_-@_-"/>
    <numFmt numFmtId="164" formatCode="_(* #,##0.00_);_(* \(#,##0.00\);_(* &quot;-&quot;??_);_(@_)"/>
    <numFmt numFmtId="165" formatCode="#,##0.00\ &quot;₽&quot;"/>
    <numFmt numFmtId="166" formatCode="_-* #,##0.00_р_._-;\-* #,##0.00_р_._-;_-* &quot;-&quot;??_р_._-;_-@_-"/>
    <numFmt numFmtId="167" formatCode="_-* #,##0.00\ _₾_-;\-* #,##0.00\ _₾_-;_-* &quot;-&quot;??\ _₾_-;_-@_-"/>
    <numFmt numFmtId="168" formatCode="_-* #,##0.00\ [$₾-437]_-;\-* #,##0.00\ [$₾-437]_-;_-* &quot;-&quot;??\ [$₾-437]_-;_-@_-"/>
    <numFmt numFmtId="169" formatCode="0.0%"/>
    <numFmt numFmtId="170" formatCode="#,##0.00\ [$₾-437]"/>
    <numFmt numFmtId="171" formatCode="_-[$$-409]* #,##0.00_ ;_-[$$-409]* \-#,##0.00\ ;_-[$$-409]* &quot;-&quot;??_ ;_-@_ "/>
    <numFmt numFmtId="173" formatCode="#,##0.00\ _₽"/>
    <numFmt numFmtId="174" formatCode="0.00000"/>
    <numFmt numFmtId="175" formatCode="#,##0.0000\ &quot;₽&quot;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Times New Roman"/>
      <family val="1"/>
      <charset val="204"/>
    </font>
    <font>
      <b/>
      <sz val="14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i/>
      <sz val="9"/>
      <color theme="1"/>
      <name val="Calibri"/>
      <family val="2"/>
    </font>
    <font>
      <b/>
      <sz val="11"/>
      <color theme="0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Times New Roman"/>
      <family val="1"/>
      <charset val="1"/>
    </font>
    <font>
      <b/>
      <sz val="14"/>
      <name val="AcadNusx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1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1"/>
      <scheme val="minor"/>
    </font>
    <font>
      <sz val="11"/>
      <name val="Acadnusd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2"/>
      <color theme="1"/>
      <name val="Calibri"/>
      <family val="2"/>
    </font>
    <font>
      <i/>
      <sz val="11"/>
      <color theme="1"/>
      <name val="Calibri Light"/>
      <family val="1"/>
      <scheme val="major"/>
    </font>
    <font>
      <i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 Light"/>
      <family val="1"/>
      <scheme val="major"/>
    </font>
    <font>
      <b/>
      <sz val="11"/>
      <name val="Calibri"/>
      <family val="2"/>
      <charset val="204"/>
    </font>
    <font>
      <b/>
      <sz val="10"/>
      <color theme="0"/>
      <name val="AcadNusx"/>
    </font>
    <font>
      <b/>
      <sz val="11"/>
      <color theme="0"/>
      <name val="AcadNusx"/>
    </font>
    <font>
      <sz val="10"/>
      <name val="Calibri Light"/>
      <family val="1"/>
      <scheme val="maj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 Light"/>
      <family val="1"/>
      <scheme val="major"/>
    </font>
    <font>
      <sz val="10"/>
      <name val="Acadnusd"/>
    </font>
    <font>
      <sz val="10"/>
      <color theme="1"/>
      <name val="Calibri Light"/>
      <family val="1"/>
      <scheme val="major"/>
    </font>
    <font>
      <b/>
      <sz val="10"/>
      <color theme="1"/>
      <name val="Acadnusd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name val="AcadNusx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4" fillId="0" borderId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1" xfId="0" applyFont="1" applyBorder="1"/>
    <xf numFmtId="0" fontId="14" fillId="0" borderId="0" xfId="0" applyFont="1"/>
    <xf numFmtId="0" fontId="12" fillId="0" borderId="0" xfId="0" applyFont="1"/>
    <xf numFmtId="165" fontId="16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4" fillId="0" borderId="0" xfId="0" applyFont="1"/>
    <xf numFmtId="0" fontId="10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center" vertical="center" wrapText="1"/>
    </xf>
    <xf numFmtId="2" fontId="8" fillId="4" borderId="4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0" borderId="0" xfId="0" applyFont="1"/>
    <xf numFmtId="0" fontId="19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25" fillId="0" borderId="0" xfId="0" applyFont="1"/>
    <xf numFmtId="165" fontId="10" fillId="4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/>
    </xf>
    <xf numFmtId="0" fontId="13" fillId="4" borderId="1" xfId="0" applyFont="1" applyFill="1" applyBorder="1" applyAlignment="1">
      <alignment horizontal="left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left"/>
    </xf>
    <xf numFmtId="0" fontId="8" fillId="4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17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9" fontId="17" fillId="0" borderId="1" xfId="0" applyNumberFormat="1" applyFont="1" applyBorder="1" applyAlignment="1">
      <alignment horizontal="center" vertical="center"/>
    </xf>
    <xf numFmtId="9" fontId="26" fillId="0" borderId="1" xfId="1" applyFont="1" applyBorder="1" applyAlignment="1">
      <alignment horizontal="center" vertical="center"/>
    </xf>
    <xf numFmtId="9" fontId="26" fillId="0" borderId="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168" fontId="25" fillId="0" borderId="0" xfId="0" applyNumberFormat="1" applyFont="1"/>
    <xf numFmtId="0" fontId="27" fillId="0" borderId="0" xfId="0" applyFont="1"/>
    <xf numFmtId="165" fontId="17" fillId="0" borderId="0" xfId="0" applyNumberFormat="1" applyFont="1" applyAlignment="1">
      <alignment horizontal="left" vertical="center"/>
    </xf>
    <xf numFmtId="165" fontId="17" fillId="0" borderId="0" xfId="0" applyNumberFormat="1" applyFont="1" applyAlignment="1">
      <alignment horizontal="left" vertical="center" wrapText="1"/>
    </xf>
    <xf numFmtId="165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left" vertical="center" wrapText="1"/>
    </xf>
    <xf numFmtId="4" fontId="30" fillId="0" borderId="0" xfId="0" applyNumberFormat="1" applyFont="1" applyAlignment="1">
      <alignment horizontal="center" vertical="center"/>
    </xf>
    <xf numFmtId="165" fontId="31" fillId="0" borderId="0" xfId="0" applyNumberFormat="1" applyFont="1" applyAlignment="1">
      <alignment vertical="center"/>
    </xf>
    <xf numFmtId="165" fontId="31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3" fillId="2" borderId="7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170" fontId="34" fillId="0" borderId="1" xfId="0" applyNumberFormat="1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165" fontId="34" fillId="0" borderId="1" xfId="6" applyNumberFormat="1" applyFont="1" applyFill="1" applyBorder="1" applyAlignment="1">
      <alignment vertical="center" wrapText="1"/>
    </xf>
    <xf numFmtId="171" fontId="34" fillId="0" borderId="10" xfId="7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3" fillId="2" borderId="11" xfId="0" applyFont="1" applyFill="1" applyBorder="1" applyAlignment="1">
      <alignment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165" fontId="36" fillId="2" borderId="13" xfId="7" applyNumberFormat="1" applyFont="1" applyFill="1" applyBorder="1" applyAlignment="1">
      <alignment vertical="center" wrapText="1"/>
    </xf>
    <xf numFmtId="171" fontId="36" fillId="2" borderId="13" xfId="7" applyNumberFormat="1" applyFont="1" applyFill="1" applyBorder="1" applyAlignment="1">
      <alignment vertical="center" wrapText="1"/>
    </xf>
    <xf numFmtId="165" fontId="12" fillId="0" borderId="0" xfId="0" applyNumberFormat="1" applyFont="1"/>
    <xf numFmtId="171" fontId="12" fillId="0" borderId="0" xfId="0" applyNumberFormat="1" applyFont="1"/>
    <xf numFmtId="165" fontId="13" fillId="0" borderId="0" xfId="0" applyNumberFormat="1" applyFont="1"/>
    <xf numFmtId="165" fontId="10" fillId="4" borderId="0" xfId="0" applyNumberFormat="1" applyFont="1" applyFill="1" applyAlignment="1">
      <alignment horizontal="left"/>
    </xf>
    <xf numFmtId="165" fontId="25" fillId="0" borderId="0" xfId="0" applyNumberFormat="1" applyFont="1"/>
    <xf numFmtId="173" fontId="13" fillId="4" borderId="1" xfId="0" applyNumberFormat="1" applyFont="1" applyFill="1" applyBorder="1" applyAlignment="1">
      <alignment horizontal="center" vertical="center" wrapText="1"/>
    </xf>
    <xf numFmtId="173" fontId="13" fillId="0" borderId="1" xfId="0" applyNumberFormat="1" applyFont="1" applyBorder="1" applyAlignment="1">
      <alignment horizontal="center" vertical="center" wrapText="1"/>
    </xf>
    <xf numFmtId="173" fontId="8" fillId="4" borderId="1" xfId="0" applyNumberFormat="1" applyFont="1" applyFill="1" applyBorder="1" applyAlignment="1">
      <alignment horizontal="center" vertical="center" wrapText="1"/>
    </xf>
    <xf numFmtId="173" fontId="8" fillId="4" borderId="2" xfId="0" applyNumberFormat="1" applyFont="1" applyFill="1" applyBorder="1" applyAlignment="1">
      <alignment horizontal="center" vertical="center" wrapText="1"/>
    </xf>
    <xf numFmtId="173" fontId="13" fillId="0" borderId="2" xfId="0" applyNumberFormat="1" applyFont="1" applyBorder="1" applyAlignment="1">
      <alignment horizontal="center" vertical="center" wrapText="1"/>
    </xf>
    <xf numFmtId="173" fontId="8" fillId="4" borderId="4" xfId="0" applyNumberFormat="1" applyFont="1" applyFill="1" applyBorder="1" applyAlignment="1">
      <alignment horizontal="center" vertical="center" wrapText="1"/>
    </xf>
    <xf numFmtId="173" fontId="13" fillId="0" borderId="4" xfId="0" applyNumberFormat="1" applyFont="1" applyBorder="1" applyAlignment="1">
      <alignment horizontal="center" vertical="center" wrapText="1"/>
    </xf>
    <xf numFmtId="173" fontId="19" fillId="4" borderId="1" xfId="0" applyNumberFormat="1" applyFont="1" applyFill="1" applyBorder="1" applyAlignment="1">
      <alignment horizontal="center" vertical="center" wrapText="1"/>
    </xf>
    <xf numFmtId="173" fontId="10" fillId="0" borderId="1" xfId="0" applyNumberFormat="1" applyFont="1" applyBorder="1" applyAlignment="1">
      <alignment horizontal="center" vertical="center" wrapText="1"/>
    </xf>
    <xf numFmtId="173" fontId="10" fillId="3" borderId="1" xfId="0" applyNumberFormat="1" applyFont="1" applyFill="1" applyBorder="1" applyAlignment="1">
      <alignment horizontal="center" vertical="center" wrapText="1"/>
    </xf>
    <xf numFmtId="173" fontId="19" fillId="4" borderId="1" xfId="0" applyNumberFormat="1" applyFont="1" applyFill="1" applyBorder="1" applyAlignment="1">
      <alignment horizontal="center" vertical="top" wrapText="1"/>
    </xf>
    <xf numFmtId="173" fontId="8" fillId="4" borderId="1" xfId="0" applyNumberFormat="1" applyFont="1" applyFill="1" applyBorder="1" applyAlignment="1">
      <alignment horizontal="center" vertical="top" wrapText="1"/>
    </xf>
    <xf numFmtId="173" fontId="10" fillId="4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center" vertical="center" wrapText="1"/>
    </xf>
    <xf numFmtId="2" fontId="8" fillId="5" borderId="1" xfId="0" applyNumberFormat="1" applyFont="1" applyFill="1" applyBorder="1" applyAlignment="1">
      <alignment horizontal="center" vertical="center" wrapText="1"/>
    </xf>
    <xf numFmtId="174" fontId="8" fillId="5" borderId="1" xfId="0" applyNumberFormat="1" applyFont="1" applyFill="1" applyBorder="1" applyAlignment="1">
      <alignment horizontal="center" vertical="center" wrapText="1"/>
    </xf>
    <xf numFmtId="2" fontId="19" fillId="5" borderId="1" xfId="0" applyNumberFormat="1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39" fillId="4" borderId="1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173" fontId="19" fillId="5" borderId="1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Alignment="1">
      <alignment horizontal="center" vertical="center" wrapText="1"/>
    </xf>
    <xf numFmtId="165" fontId="2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33" fillId="2" borderId="5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0" fontId="22" fillId="2" borderId="2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0" fontId="22" fillId="2" borderId="4" xfId="2" applyFont="1" applyFill="1" applyBorder="1" applyAlignment="1">
      <alignment horizontal="center" vertical="center" wrapText="1"/>
    </xf>
    <xf numFmtId="9" fontId="22" fillId="2" borderId="1" xfId="3" applyFont="1" applyFill="1" applyBorder="1" applyAlignment="1" applyProtection="1">
      <alignment horizontal="center" vertical="center"/>
    </xf>
    <xf numFmtId="166" fontId="22" fillId="2" borderId="2" xfId="4" applyFont="1" applyFill="1" applyBorder="1" applyAlignment="1" applyProtection="1">
      <alignment horizontal="center" vertical="center"/>
    </xf>
    <xf numFmtId="166" fontId="22" fillId="2" borderId="3" xfId="4" applyFont="1" applyFill="1" applyBorder="1" applyAlignment="1" applyProtection="1">
      <alignment horizontal="center" vertical="center"/>
    </xf>
    <xf numFmtId="166" fontId="22" fillId="2" borderId="4" xfId="4" applyFont="1" applyFill="1" applyBorder="1" applyAlignment="1" applyProtection="1">
      <alignment horizontal="center" vertical="center"/>
    </xf>
    <xf numFmtId="166" fontId="22" fillId="2" borderId="1" xfId="4" applyFont="1" applyFill="1" applyBorder="1" applyAlignment="1" applyProtection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166" fontId="22" fillId="2" borderId="1" xfId="4" applyFont="1" applyFill="1" applyBorder="1" applyAlignment="1" applyProtection="1">
      <alignment horizontal="center" vertical="center" wrapText="1"/>
    </xf>
    <xf numFmtId="165" fontId="41" fillId="0" borderId="0" xfId="0" applyNumberFormat="1" applyFont="1" applyAlignment="1">
      <alignment horizontal="center" vertical="center"/>
    </xf>
    <xf numFmtId="165" fontId="42" fillId="0" borderId="0" xfId="0" applyNumberFormat="1" applyFont="1" applyAlignment="1">
      <alignment horizontal="center" vertical="center"/>
    </xf>
    <xf numFmtId="165" fontId="43" fillId="0" borderId="0" xfId="0" applyNumberFormat="1" applyFont="1" applyAlignment="1">
      <alignment horizontal="center" vertical="center"/>
    </xf>
    <xf numFmtId="165" fontId="44" fillId="0" borderId="0" xfId="0" applyNumberFormat="1" applyFont="1" applyAlignment="1">
      <alignment horizontal="center" vertical="center"/>
    </xf>
    <xf numFmtId="165" fontId="44" fillId="0" borderId="0" xfId="0" applyNumberFormat="1" applyFont="1" applyAlignment="1">
      <alignment horizontal="center" vertical="center" wrapText="1"/>
    </xf>
    <xf numFmtId="165" fontId="45" fillId="0" borderId="0" xfId="0" applyNumberFormat="1" applyFont="1" applyAlignment="1">
      <alignment horizontal="center" vertical="center"/>
    </xf>
    <xf numFmtId="165" fontId="46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46" fillId="0" borderId="0" xfId="0" applyNumberFormat="1" applyFont="1" applyAlignment="1">
      <alignment horizontal="center" vertical="center"/>
    </xf>
    <xf numFmtId="175" fontId="43" fillId="0" borderId="0" xfId="0" applyNumberFormat="1" applyFont="1" applyAlignment="1">
      <alignment horizontal="center" vertical="center"/>
    </xf>
    <xf numFmtId="0" fontId="47" fillId="0" borderId="0" xfId="0" applyFont="1"/>
    <xf numFmtId="165" fontId="43" fillId="0" borderId="0" xfId="0" applyNumberFormat="1" applyFont="1" applyAlignment="1">
      <alignment horizontal="center" vertical="center" wrapText="1"/>
    </xf>
    <xf numFmtId="165" fontId="43" fillId="0" borderId="0" xfId="0" applyNumberFormat="1" applyFont="1" applyAlignment="1">
      <alignment horizontal="center" vertical="center"/>
    </xf>
    <xf numFmtId="165" fontId="48" fillId="0" borderId="0" xfId="0" applyNumberFormat="1" applyFont="1" applyAlignment="1">
      <alignment horizontal="center" vertical="center"/>
    </xf>
    <xf numFmtId="0" fontId="49" fillId="2" borderId="1" xfId="2" applyFont="1" applyFill="1" applyBorder="1" applyAlignment="1">
      <alignment horizontal="center" vertical="center"/>
    </xf>
    <xf numFmtId="0" fontId="50" fillId="2" borderId="2" xfId="2" applyFont="1" applyFill="1" applyBorder="1" applyAlignment="1">
      <alignment horizontal="center" vertical="center" wrapText="1"/>
    </xf>
    <xf numFmtId="9" fontId="50" fillId="2" borderId="1" xfId="3" applyFont="1" applyFill="1" applyBorder="1" applyAlignment="1" applyProtection="1">
      <alignment horizontal="center" vertical="center" wrapText="1"/>
    </xf>
    <xf numFmtId="166" fontId="50" fillId="2" borderId="2" xfId="4" applyFont="1" applyFill="1" applyBorder="1" applyAlignment="1" applyProtection="1">
      <alignment horizontal="center" vertical="center"/>
    </xf>
    <xf numFmtId="166" fontId="50" fillId="2" borderId="1" xfId="4" applyFont="1" applyFill="1" applyBorder="1" applyAlignment="1" applyProtection="1">
      <alignment horizontal="center" vertical="center"/>
    </xf>
    <xf numFmtId="166" fontId="50" fillId="2" borderId="1" xfId="4" applyFont="1" applyFill="1" applyBorder="1" applyAlignment="1" applyProtection="1">
      <alignment horizontal="center" vertical="center" wrapText="1"/>
    </xf>
    <xf numFmtId="0" fontId="51" fillId="0" borderId="0" xfId="0" applyFont="1"/>
    <xf numFmtId="0" fontId="52" fillId="0" borderId="0" xfId="0" applyFont="1"/>
    <xf numFmtId="0" fontId="50" fillId="2" borderId="4" xfId="2" applyFont="1" applyFill="1" applyBorder="1" applyAlignment="1">
      <alignment horizontal="center" vertical="center" wrapText="1"/>
    </xf>
    <xf numFmtId="9" fontId="50" fillId="2" borderId="1" xfId="3" applyFont="1" applyFill="1" applyBorder="1" applyAlignment="1" applyProtection="1">
      <alignment horizontal="center" vertical="center"/>
    </xf>
    <xf numFmtId="166" fontId="50" fillId="2" borderId="4" xfId="4" applyFont="1" applyFill="1" applyBorder="1" applyAlignment="1" applyProtection="1">
      <alignment horizontal="center" vertical="center"/>
    </xf>
    <xf numFmtId="166" fontId="50" fillId="2" borderId="1" xfId="4" applyFont="1" applyFill="1" applyBorder="1" applyAlignment="1" applyProtection="1">
      <alignment horizontal="center" vertical="center" wrapText="1"/>
    </xf>
    <xf numFmtId="0" fontId="53" fillId="2" borderId="1" xfId="0" applyFont="1" applyFill="1" applyBorder="1" applyAlignment="1">
      <alignment horizontal="center" vertical="center" wrapText="1"/>
    </xf>
    <xf numFmtId="0" fontId="54" fillId="2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 wrapText="1"/>
    </xf>
    <xf numFmtId="164" fontId="12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70" fontId="52" fillId="4" borderId="1" xfId="0" applyNumberFormat="1" applyFont="1" applyFill="1" applyBorder="1" applyAlignment="1">
      <alignment horizontal="center" vertical="center" wrapText="1"/>
    </xf>
    <xf numFmtId="170" fontId="52" fillId="0" borderId="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6" fillId="0" borderId="0" xfId="0" applyFont="1"/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top" wrapText="1"/>
    </xf>
    <xf numFmtId="164" fontId="19" fillId="5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59" fillId="0" borderId="1" xfId="0" applyFont="1" applyBorder="1" applyAlignment="1">
      <alignment horizontal="left" vertical="center" wrapText="1"/>
    </xf>
    <xf numFmtId="0" fontId="60" fillId="0" borderId="1" xfId="0" applyFont="1" applyBorder="1" applyAlignment="1">
      <alignment horizontal="center" vertical="center" wrapText="1"/>
    </xf>
    <xf numFmtId="2" fontId="59" fillId="0" borderId="1" xfId="0" applyNumberFormat="1" applyFont="1" applyBorder="1" applyAlignment="1">
      <alignment horizontal="center" vertical="center" wrapText="1"/>
    </xf>
    <xf numFmtId="165" fontId="6" fillId="0" borderId="1" xfId="6" applyNumberFormat="1" applyFont="1" applyFill="1" applyBorder="1" applyAlignment="1">
      <alignment vertical="center" wrapText="1"/>
    </xf>
    <xf numFmtId="165" fontId="15" fillId="0" borderId="0" xfId="0" applyNumberFormat="1" applyFont="1" applyAlignment="1">
      <alignment vertical="center"/>
    </xf>
    <xf numFmtId="165" fontId="62" fillId="0" borderId="0" xfId="0" applyNumberFormat="1" applyFont="1" applyAlignment="1">
      <alignment horizontal="center" vertical="center" wrapText="1"/>
    </xf>
  </cellXfs>
  <cellStyles count="8">
    <cellStyle name="Comma 17" xfId="4" xr:uid="{00000000-0005-0000-0000-000001000000}"/>
    <cellStyle name="Comma 2" xfId="6" xr:uid="{00000000-0005-0000-0000-000002000000}"/>
    <cellStyle name="Currency 2" xfId="7" xr:uid="{00000000-0005-0000-0000-000003000000}"/>
    <cellStyle name="Normal" xfId="0" builtinId="0"/>
    <cellStyle name="Normal_gare wyalsadfenigagarini 2_SMSH2008-IIkv ." xfId="2" xr:uid="{00000000-0005-0000-0000-000005000000}"/>
    <cellStyle name="Percent" xfId="1" builtinId="5"/>
    <cellStyle name="Percent 3" xfId="3" xr:uid="{00000000-0005-0000-0000-000007000000}"/>
    <cellStyle name="Обычный 4" xfId="5" xr:uid="{00000000-0005-0000-0000-000008000000}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2"/>
  <sheetViews>
    <sheetView zoomScaleNormal="100" workbookViewId="0">
      <selection activeCell="A2" sqref="A2:E2"/>
    </sheetView>
  </sheetViews>
  <sheetFormatPr defaultColWidth="9.109375" defaultRowHeight="13.8"/>
  <cols>
    <col min="1" max="1" width="5.88671875" style="76" customWidth="1"/>
    <col min="2" max="2" width="55.44140625" style="8" customWidth="1"/>
    <col min="3" max="3" width="9.5546875" style="8" bestFit="1" customWidth="1"/>
    <col min="4" max="4" width="25.33203125" style="8" customWidth="1"/>
    <col min="5" max="5" width="30.109375" style="8" customWidth="1"/>
    <col min="6" max="16384" width="9.109375" style="8"/>
  </cols>
  <sheetData>
    <row r="2" spans="1:5" ht="18">
      <c r="A2" s="138" t="s">
        <v>244</v>
      </c>
      <c r="B2" s="138"/>
      <c r="C2" s="138"/>
      <c r="D2" s="138"/>
      <c r="E2" s="138"/>
    </row>
    <row r="3" spans="1:5" s="72" customFormat="1" ht="15.6">
      <c r="A3" s="119" t="s">
        <v>122</v>
      </c>
      <c r="B3" s="119"/>
      <c r="C3" s="119"/>
      <c r="D3" s="119"/>
      <c r="E3" s="119"/>
    </row>
    <row r="4" spans="1:5" s="72" customFormat="1">
      <c r="A4" s="120"/>
      <c r="B4" s="120"/>
      <c r="C4" s="120"/>
      <c r="D4" s="120"/>
      <c r="E4" s="120"/>
    </row>
    <row r="5" spans="1:5" s="72" customFormat="1">
      <c r="A5" s="73"/>
      <c r="B5" s="73"/>
      <c r="C5" s="73"/>
      <c r="D5" s="74" t="s">
        <v>123</v>
      </c>
      <c r="E5" s="75">
        <v>2.65</v>
      </c>
    </row>
    <row r="6" spans="1:5" ht="14.4" thickBot="1"/>
    <row r="7" spans="1:5">
      <c r="A7" s="121" t="s">
        <v>2</v>
      </c>
      <c r="B7" s="123" t="s">
        <v>124</v>
      </c>
      <c r="C7" s="77"/>
      <c r="D7" s="125" t="s">
        <v>125</v>
      </c>
      <c r="E7" s="127" t="s">
        <v>126</v>
      </c>
    </row>
    <row r="8" spans="1:5">
      <c r="A8" s="122"/>
      <c r="B8" s="124"/>
      <c r="C8" s="78"/>
      <c r="D8" s="126"/>
      <c r="E8" s="128"/>
    </row>
    <row r="9" spans="1:5">
      <c r="A9" s="79">
        <v>1</v>
      </c>
      <c r="B9" s="80" t="s">
        <v>127</v>
      </c>
      <c r="C9" s="81"/>
      <c r="D9" s="82">
        <f>მოსამზ.!K27</f>
        <v>0</v>
      </c>
      <c r="E9" s="83"/>
    </row>
    <row r="10" spans="1:5">
      <c r="A10" s="79">
        <v>2</v>
      </c>
      <c r="B10" s="80" t="s">
        <v>209</v>
      </c>
      <c r="C10" s="81"/>
      <c r="D10" s="82">
        <f>დემონტაჟი!K30</f>
        <v>0</v>
      </c>
      <c r="E10" s="83"/>
    </row>
    <row r="11" spans="1:5">
      <c r="A11" s="79">
        <v>3</v>
      </c>
      <c r="B11" s="80" t="s">
        <v>169</v>
      </c>
      <c r="C11" s="81"/>
      <c r="D11" s="82">
        <f>კონსტრუქცია!K253</f>
        <v>0</v>
      </c>
      <c r="E11" s="83"/>
    </row>
    <row r="12" spans="1:5">
      <c r="A12" s="79">
        <v>4</v>
      </c>
      <c r="B12" s="80" t="s">
        <v>168</v>
      </c>
      <c r="C12" s="81"/>
      <c r="D12" s="82">
        <f>არქიტექტურა!K160</f>
        <v>0</v>
      </c>
      <c r="E12" s="83"/>
    </row>
    <row r="13" spans="1:5">
      <c r="A13" s="79">
        <v>5</v>
      </c>
      <c r="B13" s="80" t="s">
        <v>175</v>
      </c>
      <c r="C13" s="81"/>
      <c r="D13" s="82">
        <f>'გარე ტერიტორია'!K142</f>
        <v>0</v>
      </c>
      <c r="E13" s="83"/>
    </row>
    <row r="14" spans="1:5" s="84" customFormat="1" ht="14.4">
      <c r="A14" s="1"/>
      <c r="B14" s="2" t="s">
        <v>37</v>
      </c>
      <c r="C14" s="3"/>
      <c r="D14" s="82">
        <f>SUM(D9:D13)</f>
        <v>0</v>
      </c>
      <c r="E14" s="83"/>
    </row>
    <row r="15" spans="1:5" s="84" customFormat="1" ht="14.4">
      <c r="A15" s="1"/>
      <c r="B15" s="2" t="s">
        <v>212</v>
      </c>
      <c r="C15" s="4">
        <v>0.05</v>
      </c>
      <c r="D15" s="202">
        <f>D14*C15</f>
        <v>0</v>
      </c>
      <c r="E15" s="83"/>
    </row>
    <row r="16" spans="1:5" s="84" customFormat="1" ht="14.4">
      <c r="A16" s="1"/>
      <c r="B16" s="2" t="s">
        <v>37</v>
      </c>
      <c r="C16" s="3"/>
      <c r="D16" s="202">
        <f>SUM(D14:D15)</f>
        <v>0</v>
      </c>
      <c r="E16" s="83"/>
    </row>
    <row r="17" spans="1:11" s="84" customFormat="1" ht="14.4">
      <c r="A17" s="1"/>
      <c r="B17" s="2" t="s">
        <v>128</v>
      </c>
      <c r="C17" s="4">
        <v>0.18</v>
      </c>
      <c r="D17" s="202">
        <f>D16*C17</f>
        <v>0</v>
      </c>
      <c r="E17" s="83"/>
    </row>
    <row r="18" spans="1:11" s="84" customFormat="1" ht="16.2" thickBot="1">
      <c r="A18" s="85"/>
      <c r="B18" s="86" t="s">
        <v>37</v>
      </c>
      <c r="C18" s="87"/>
      <c r="D18" s="88">
        <f>SUM(D16:D17)</f>
        <v>0</v>
      </c>
      <c r="E18" s="89">
        <f>E14+E17</f>
        <v>0</v>
      </c>
    </row>
    <row r="19" spans="1:11">
      <c r="D19" s="90"/>
      <c r="E19" s="91"/>
    </row>
    <row r="20" spans="1:11">
      <c r="D20" s="90"/>
    </row>
    <row r="21" spans="1:11" ht="13.8" customHeight="1">
      <c r="A21" s="138" t="s">
        <v>244</v>
      </c>
      <c r="B21" s="138"/>
      <c r="C21" s="138"/>
      <c r="D21" s="138"/>
      <c r="E21" s="138"/>
      <c r="F21" s="203"/>
      <c r="G21" s="203"/>
      <c r="H21" s="203"/>
      <c r="I21" s="203"/>
      <c r="J21" s="203"/>
      <c r="K21" s="203"/>
    </row>
    <row r="22" spans="1:11" ht="13.8" customHeight="1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</sheetData>
  <mergeCells count="8">
    <mergeCell ref="A21:E21"/>
    <mergeCell ref="A2:E2"/>
    <mergeCell ref="A3:E3"/>
    <mergeCell ref="A4:E4"/>
    <mergeCell ref="A7:A8"/>
    <mergeCell ref="B7:B8"/>
    <mergeCell ref="D7:D8"/>
    <mergeCell ref="E7:E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60903-2849-404E-B433-726B370AA749}">
  <sheetPr>
    <tabColor rgb="FF92D050"/>
  </sheetPr>
  <dimension ref="A2:CK27"/>
  <sheetViews>
    <sheetView tabSelected="1" view="pageBreakPreview" zoomScaleNormal="100" zoomScaleSheetLayoutView="100" workbookViewId="0">
      <selection activeCell="J7" sqref="J7:K7"/>
    </sheetView>
  </sheetViews>
  <sheetFormatPr defaultRowHeight="14.4"/>
  <cols>
    <col min="1" max="1" width="3.109375" bestFit="1" customWidth="1"/>
    <col min="2" max="2" width="47.44140625" customWidth="1"/>
    <col min="3" max="3" width="9.88671875" bestFit="1" customWidth="1"/>
    <col min="4" max="4" width="14" customWidth="1"/>
    <col min="5" max="5" width="10.5546875" style="184" customWidth="1"/>
    <col min="6" max="6" width="13.44140625" style="184" customWidth="1"/>
    <col min="7" max="7" width="10.44140625" style="184" customWidth="1"/>
    <col min="8" max="8" width="11.88671875" style="184" bestFit="1" customWidth="1"/>
    <col min="9" max="9" width="9.88671875" style="184" bestFit="1" customWidth="1"/>
    <col min="10" max="10" width="11.88671875" style="184" bestFit="1" customWidth="1"/>
    <col min="11" max="11" width="13.109375" style="184" bestFit="1" customWidth="1"/>
    <col min="12" max="12" width="30.88671875" style="152" customWidth="1"/>
    <col min="13" max="13" width="16.109375" bestFit="1" customWidth="1"/>
  </cols>
  <sheetData>
    <row r="2" spans="1:89" s="143" customFormat="1" ht="19.8">
      <c r="A2" s="204" t="s">
        <v>245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42"/>
    </row>
    <row r="3" spans="1:89" s="143" customFormat="1" ht="21.6" customHeight="1">
      <c r="A3" s="144" t="s">
        <v>127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2"/>
    </row>
    <row r="4" spans="1:89" s="143" customFormat="1" ht="17.25" customHeight="1">
      <c r="A4" s="145" t="s">
        <v>213</v>
      </c>
      <c r="B4" s="146"/>
      <c r="C4" s="145"/>
      <c r="D4" s="145"/>
      <c r="E4" s="145"/>
      <c r="F4" s="145"/>
      <c r="G4" s="145"/>
      <c r="H4" s="145"/>
      <c r="I4" s="145"/>
      <c r="J4" s="145"/>
      <c r="K4" s="145"/>
      <c r="L4" s="142"/>
    </row>
    <row r="5" spans="1:89" s="143" customFormat="1" ht="17.25" customHeight="1">
      <c r="A5" s="68" t="s">
        <v>116</v>
      </c>
      <c r="B5" s="69" t="s">
        <v>117</v>
      </c>
      <c r="C5" s="147"/>
      <c r="D5" s="147"/>
      <c r="E5" s="147"/>
      <c r="F5" s="147"/>
      <c r="G5" s="148" t="s">
        <v>1</v>
      </c>
      <c r="H5" s="148"/>
      <c r="I5" s="148"/>
      <c r="J5" s="148">
        <f>K24</f>
        <v>0</v>
      </c>
      <c r="K5" s="148"/>
      <c r="L5" s="142"/>
    </row>
    <row r="6" spans="1:89">
      <c r="A6" s="70" t="s">
        <v>118</v>
      </c>
      <c r="B6" s="71"/>
      <c r="C6" s="145"/>
      <c r="D6" s="145"/>
      <c r="E6" s="145"/>
      <c r="F6" s="145"/>
      <c r="G6" s="149"/>
      <c r="H6" s="149"/>
      <c r="I6" s="150"/>
      <c r="J6" s="151"/>
      <c r="K6" s="151"/>
    </row>
    <row r="7" spans="1:89">
      <c r="A7" s="150"/>
      <c r="B7" s="153"/>
      <c r="C7" s="154"/>
      <c r="D7" s="154"/>
      <c r="E7" s="154"/>
      <c r="F7" s="154"/>
      <c r="G7" s="154"/>
      <c r="H7" s="154"/>
      <c r="I7" s="155" t="s">
        <v>214</v>
      </c>
      <c r="J7" s="151">
        <v>2.65</v>
      </c>
      <c r="K7" s="151"/>
    </row>
    <row r="8" spans="1:89" s="8" customFormat="1" ht="41.1" customHeight="1">
      <c r="A8" s="156" t="s">
        <v>2</v>
      </c>
      <c r="B8" s="157" t="s">
        <v>215</v>
      </c>
      <c r="C8" s="158" t="s">
        <v>216</v>
      </c>
      <c r="D8" s="159" t="s">
        <v>217</v>
      </c>
      <c r="E8" s="160" t="s">
        <v>6</v>
      </c>
      <c r="F8" s="160"/>
      <c r="G8" s="160" t="s">
        <v>7</v>
      </c>
      <c r="H8" s="160"/>
      <c r="I8" s="161" t="s">
        <v>8</v>
      </c>
      <c r="J8" s="161"/>
      <c r="K8" s="160" t="s">
        <v>9</v>
      </c>
      <c r="L8" s="162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</row>
    <row r="9" spans="1:89" s="8" customFormat="1" ht="36.6" customHeight="1">
      <c r="A9" s="156"/>
      <c r="B9" s="164"/>
      <c r="C9" s="165"/>
      <c r="D9" s="166"/>
      <c r="E9" s="167" t="s">
        <v>218</v>
      </c>
      <c r="F9" s="167" t="s">
        <v>219</v>
      </c>
      <c r="G9" s="167" t="s">
        <v>218</v>
      </c>
      <c r="H9" s="167" t="s">
        <v>219</v>
      </c>
      <c r="I9" s="167" t="s">
        <v>218</v>
      </c>
      <c r="J9" s="167" t="s">
        <v>219</v>
      </c>
      <c r="K9" s="160"/>
      <c r="L9" s="162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</row>
    <row r="10" spans="1:89" s="8" customFormat="1">
      <c r="A10" s="108">
        <v>1</v>
      </c>
      <c r="B10" s="168">
        <v>2</v>
      </c>
      <c r="C10" s="169">
        <v>3</v>
      </c>
      <c r="D10" s="168">
        <v>4</v>
      </c>
      <c r="E10" s="168">
        <v>5</v>
      </c>
      <c r="F10" s="168">
        <v>6</v>
      </c>
      <c r="G10" s="168">
        <v>7</v>
      </c>
      <c r="H10" s="168">
        <v>8</v>
      </c>
      <c r="I10" s="168">
        <v>9</v>
      </c>
      <c r="J10" s="168">
        <v>10</v>
      </c>
      <c r="K10" s="168">
        <v>11</v>
      </c>
      <c r="L10" s="162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</row>
    <row r="11" spans="1:89">
      <c r="A11" s="170"/>
      <c r="B11" s="170" t="s">
        <v>127</v>
      </c>
      <c r="C11" s="171"/>
      <c r="D11" s="172"/>
      <c r="E11" s="173"/>
      <c r="F11" s="173"/>
      <c r="G11" s="173"/>
      <c r="H11" s="174"/>
      <c r="I11" s="173"/>
      <c r="J11" s="173"/>
      <c r="K11" s="174"/>
    </row>
    <row r="12" spans="1:89">
      <c r="A12" s="175">
        <v>1</v>
      </c>
      <c r="B12" s="175" t="s">
        <v>220</v>
      </c>
      <c r="C12" s="176" t="s">
        <v>31</v>
      </c>
      <c r="D12" s="177">
        <f>196*2</f>
        <v>392</v>
      </c>
      <c r="E12" s="178"/>
      <c r="F12" s="178"/>
      <c r="G12" s="178"/>
      <c r="H12" s="178"/>
      <c r="I12" s="178"/>
      <c r="J12" s="178"/>
      <c r="K12" s="178"/>
    </row>
    <row r="13" spans="1:89">
      <c r="A13" s="175">
        <f t="shared" ref="A13:A15" si="0">A12+1</f>
        <v>2</v>
      </c>
      <c r="B13" s="175" t="s">
        <v>221</v>
      </c>
      <c r="C13" s="176" t="s">
        <v>21</v>
      </c>
      <c r="D13" s="177">
        <v>1</v>
      </c>
      <c r="E13" s="179"/>
      <c r="F13" s="179"/>
      <c r="G13" s="179"/>
      <c r="H13" s="179"/>
      <c r="I13" s="178"/>
      <c r="J13" s="178"/>
      <c r="K13" s="178"/>
    </row>
    <row r="14" spans="1:89">
      <c r="A14" s="175">
        <v>2</v>
      </c>
      <c r="B14" s="175" t="s">
        <v>222</v>
      </c>
      <c r="C14" s="176" t="s">
        <v>120</v>
      </c>
      <c r="D14" s="177">
        <v>3</v>
      </c>
      <c r="E14" s="179"/>
      <c r="F14" s="179"/>
      <c r="G14" s="179"/>
      <c r="H14" s="179"/>
      <c r="I14" s="178"/>
      <c r="J14" s="178"/>
      <c r="K14" s="178"/>
    </row>
    <row r="15" spans="1:89">
      <c r="A15" s="175">
        <f t="shared" si="0"/>
        <v>3</v>
      </c>
      <c r="B15" s="175" t="s">
        <v>223</v>
      </c>
      <c r="C15" s="176" t="s">
        <v>120</v>
      </c>
      <c r="D15" s="177">
        <v>3</v>
      </c>
      <c r="E15" s="179"/>
      <c r="F15" s="179"/>
      <c r="G15" s="179"/>
      <c r="H15" s="179"/>
      <c r="I15" s="178"/>
      <c r="J15" s="178"/>
      <c r="K15" s="178"/>
    </row>
    <row r="16" spans="1:89">
      <c r="A16" s="175">
        <v>3</v>
      </c>
      <c r="B16" s="175" t="s">
        <v>224</v>
      </c>
      <c r="C16" s="176" t="s">
        <v>120</v>
      </c>
      <c r="D16" s="177">
        <v>3</v>
      </c>
      <c r="E16" s="179"/>
      <c r="F16" s="179"/>
      <c r="G16" s="179"/>
      <c r="H16" s="179"/>
      <c r="I16" s="178"/>
      <c r="J16" s="178"/>
      <c r="K16" s="178"/>
    </row>
    <row r="17" spans="1:12" s="84" customFormat="1">
      <c r="A17" s="56"/>
      <c r="B17" s="57" t="s">
        <v>37</v>
      </c>
      <c r="C17" s="58"/>
      <c r="D17" s="50"/>
      <c r="E17" s="107"/>
      <c r="F17" s="107">
        <f>SUM(F12:F16)</f>
        <v>0</v>
      </c>
      <c r="G17" s="107"/>
      <c r="H17" s="107">
        <f t="shared" ref="G17:K17" si="1">SUM(H12:H16)</f>
        <v>0</v>
      </c>
      <c r="I17" s="107"/>
      <c r="J17" s="107">
        <f t="shared" si="1"/>
        <v>0</v>
      </c>
      <c r="K17" s="107">
        <f t="shared" si="1"/>
        <v>0</v>
      </c>
      <c r="L17" s="180"/>
    </row>
    <row r="18" spans="1:12" s="181" customFormat="1" ht="15" customHeight="1">
      <c r="A18" s="56"/>
      <c r="B18" s="57" t="s">
        <v>121</v>
      </c>
      <c r="C18" s="64"/>
      <c r="D18" s="50"/>
      <c r="E18" s="107"/>
      <c r="F18" s="107"/>
      <c r="G18" s="107"/>
      <c r="H18" s="107"/>
      <c r="I18" s="107"/>
      <c r="J18" s="107"/>
      <c r="K18" s="107">
        <f>K17*C18</f>
        <v>0</v>
      </c>
      <c r="L18" s="162"/>
    </row>
    <row r="19" spans="1:12" s="183" customFormat="1">
      <c r="A19" s="56"/>
      <c r="B19" s="57" t="s">
        <v>37</v>
      </c>
      <c r="C19" s="58"/>
      <c r="D19" s="50"/>
      <c r="E19" s="107"/>
      <c r="F19" s="107"/>
      <c r="G19" s="107"/>
      <c r="H19" s="107"/>
      <c r="I19" s="107"/>
      <c r="J19" s="107"/>
      <c r="K19" s="107">
        <f>SUM(K17:K18)</f>
        <v>0</v>
      </c>
      <c r="L19" s="182"/>
    </row>
    <row r="20" spans="1:12" s="183" customFormat="1">
      <c r="A20" s="56"/>
      <c r="B20" s="57" t="s">
        <v>38</v>
      </c>
      <c r="C20" s="60"/>
      <c r="D20" s="50"/>
      <c r="E20" s="107"/>
      <c r="F20" s="107"/>
      <c r="G20" s="107"/>
      <c r="H20" s="107"/>
      <c r="I20" s="107"/>
      <c r="J20" s="107"/>
      <c r="K20" s="107">
        <f>K19*C20</f>
        <v>0</v>
      </c>
      <c r="L20" s="182"/>
    </row>
    <row r="21" spans="1:12" s="183" customFormat="1">
      <c r="A21" s="56"/>
      <c r="B21" s="44" t="s">
        <v>37</v>
      </c>
      <c r="C21" s="61"/>
      <c r="D21" s="50"/>
      <c r="E21" s="107"/>
      <c r="F21" s="107"/>
      <c r="G21" s="107"/>
      <c r="H21" s="107"/>
      <c r="I21" s="107"/>
      <c r="J21" s="107"/>
      <c r="K21" s="107">
        <f>SUM(K19:K20)</f>
        <v>0</v>
      </c>
      <c r="L21" s="182"/>
    </row>
    <row r="22" spans="1:12" s="183" customFormat="1">
      <c r="A22" s="56"/>
      <c r="B22" s="44" t="s">
        <v>39</v>
      </c>
      <c r="C22" s="62"/>
      <c r="D22" s="50"/>
      <c r="E22" s="107"/>
      <c r="F22" s="107"/>
      <c r="G22" s="107"/>
      <c r="H22" s="107"/>
      <c r="I22" s="107"/>
      <c r="J22" s="107"/>
      <c r="K22" s="107">
        <f>K21*C22</f>
        <v>0</v>
      </c>
      <c r="L22" s="182"/>
    </row>
    <row r="23" spans="1:12" s="183" customFormat="1">
      <c r="A23" s="56"/>
      <c r="B23" s="44" t="s">
        <v>37</v>
      </c>
      <c r="C23" s="61"/>
      <c r="D23" s="50"/>
      <c r="E23" s="107"/>
      <c r="F23" s="107"/>
      <c r="G23" s="107"/>
      <c r="H23" s="107"/>
      <c r="I23" s="107"/>
      <c r="J23" s="107"/>
      <c r="K23" s="107">
        <f>SUM(K21:K22)</f>
        <v>0</v>
      </c>
      <c r="L23" s="182"/>
    </row>
    <row r="24" spans="1:12" s="183" customFormat="1">
      <c r="A24" s="56"/>
      <c r="B24" s="44" t="s">
        <v>40</v>
      </c>
      <c r="C24" s="63"/>
      <c r="D24" s="50"/>
      <c r="E24" s="107"/>
      <c r="F24" s="107"/>
      <c r="G24" s="107"/>
      <c r="H24" s="107"/>
      <c r="I24" s="107"/>
      <c r="J24" s="107"/>
      <c r="K24" s="107">
        <f>K23*C24</f>
        <v>0</v>
      </c>
      <c r="L24" s="182"/>
    </row>
    <row r="25" spans="1:12">
      <c r="A25" s="56"/>
      <c r="B25" s="44" t="s">
        <v>37</v>
      </c>
      <c r="C25" s="61"/>
      <c r="D25" s="50"/>
      <c r="E25" s="107"/>
      <c r="F25" s="107"/>
      <c r="G25" s="107"/>
      <c r="H25" s="107"/>
      <c r="I25" s="107"/>
      <c r="J25" s="107"/>
      <c r="K25" s="107">
        <f>SUM(K23:K24)</f>
        <v>0</v>
      </c>
    </row>
    <row r="26" spans="1:12">
      <c r="A26" s="56"/>
      <c r="B26" s="44" t="s">
        <v>41</v>
      </c>
      <c r="C26" s="64"/>
      <c r="D26" s="50"/>
      <c r="E26" s="107"/>
      <c r="F26" s="107"/>
      <c r="G26" s="107"/>
      <c r="H26" s="107"/>
      <c r="I26" s="107"/>
      <c r="J26" s="107"/>
      <c r="K26" s="107">
        <f>K25*C26</f>
        <v>0</v>
      </c>
    </row>
    <row r="27" spans="1:12">
      <c r="A27" s="56"/>
      <c r="B27" s="44" t="s">
        <v>37</v>
      </c>
      <c r="C27" s="61"/>
      <c r="D27" s="50"/>
      <c r="E27" s="107"/>
      <c r="F27" s="107"/>
      <c r="G27" s="107"/>
      <c r="H27" s="107"/>
      <c r="I27" s="107"/>
      <c r="J27" s="107"/>
      <c r="K27" s="107">
        <f>SUM(K25:K26)</f>
        <v>0</v>
      </c>
    </row>
  </sheetData>
  <mergeCells count="14">
    <mergeCell ref="I8:J8"/>
    <mergeCell ref="K8:K9"/>
    <mergeCell ref="A8:A9"/>
    <mergeCell ref="B8:B9"/>
    <mergeCell ref="C8:C9"/>
    <mergeCell ref="D8:D9"/>
    <mergeCell ref="E8:F8"/>
    <mergeCell ref="G8:H8"/>
    <mergeCell ref="A2:K2"/>
    <mergeCell ref="A3:K3"/>
    <mergeCell ref="G5:I5"/>
    <mergeCell ref="J5:K5"/>
    <mergeCell ref="J6:K6"/>
    <mergeCell ref="J7:K7"/>
  </mergeCells>
  <conditionalFormatting sqref="D18">
    <cfRule type="cellIs" dxfId="0" priority="1" stopIfTrue="1" operator="equal">
      <formula>8223.307275</formula>
    </cfRule>
  </conditionalFormatting>
  <pageMargins left="0.11811023622047245" right="0.11811023622047245" top="0.11811023622047245" bottom="0.11811023622047245" header="0.11811023622047245" footer="0.11811023622047245"/>
  <pageSetup scale="87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2718-2140-449E-9E0D-EFB81C237D9E}">
  <sheetPr>
    <tabColor rgb="FF92D050"/>
  </sheetPr>
  <dimension ref="A1:L30"/>
  <sheetViews>
    <sheetView zoomScale="85" zoomScaleNormal="85" workbookViewId="0">
      <selection activeCell="A5" sqref="A5:B6"/>
    </sheetView>
  </sheetViews>
  <sheetFormatPr defaultColWidth="9.109375" defaultRowHeight="14.4"/>
  <cols>
    <col min="1" max="1" width="4.6640625" style="49" customWidth="1"/>
    <col min="2" max="2" width="38.109375" style="49" customWidth="1"/>
    <col min="3" max="3" width="6.6640625" style="49" customWidth="1"/>
    <col min="4" max="4" width="11" style="65" customWidth="1"/>
    <col min="5" max="5" width="10" style="49" customWidth="1"/>
    <col min="6" max="6" width="14.88671875" style="49" customWidth="1"/>
    <col min="7" max="7" width="10" style="49" customWidth="1"/>
    <col min="8" max="8" width="13.5546875" style="49" customWidth="1"/>
    <col min="9" max="9" width="9.109375" style="49" customWidth="1"/>
    <col min="10" max="10" width="11.44140625" style="49" customWidth="1"/>
    <col min="11" max="11" width="15.109375" style="49" customWidth="1"/>
    <col min="12" max="16384" width="9.109375" style="49"/>
  </cols>
  <sheetData>
    <row r="1" spans="1:12" s="9" customFormat="1">
      <c r="A1" s="138" t="s">
        <v>244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2" s="9" customForma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2" s="9" customFormat="1" ht="15.75" customHeight="1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2" s="9" customFormat="1" ht="17.25" customHeight="1">
      <c r="A4" s="139" t="s">
        <v>119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2" s="9" customFormat="1">
      <c r="A5" s="68" t="s">
        <v>116</v>
      </c>
      <c r="B5" s="69" t="s">
        <v>117</v>
      </c>
      <c r="C5" s="10"/>
      <c r="D5" s="10"/>
      <c r="E5" s="10"/>
      <c r="F5" s="10"/>
      <c r="G5" s="10"/>
      <c r="H5" s="10"/>
      <c r="I5" s="10"/>
      <c r="J5" s="10"/>
      <c r="K5" s="10"/>
    </row>
    <row r="6" spans="1:12" s="13" customFormat="1" ht="13.8">
      <c r="A6" s="70" t="s">
        <v>118</v>
      </c>
      <c r="B6" s="71"/>
      <c r="C6" s="12"/>
      <c r="D6" s="12"/>
      <c r="E6" s="12"/>
      <c r="F6" s="12"/>
      <c r="G6" s="140" t="s">
        <v>1</v>
      </c>
      <c r="H6" s="140"/>
      <c r="I6" s="140"/>
      <c r="J6" s="140">
        <f>K30</f>
        <v>0</v>
      </c>
      <c r="K6" s="140"/>
    </row>
    <row r="7" spans="1:12" s="9" customFormat="1">
      <c r="A7" s="10"/>
      <c r="B7" s="11"/>
      <c r="C7" s="10"/>
      <c r="D7" s="10"/>
      <c r="E7" s="10"/>
      <c r="F7" s="10"/>
      <c r="G7" s="14"/>
      <c r="H7" s="14"/>
      <c r="I7" s="14"/>
      <c r="J7" s="14"/>
      <c r="K7" s="14"/>
    </row>
    <row r="8" spans="1:12" s="15" customFormat="1" ht="15.6">
      <c r="A8" s="129" t="s">
        <v>2</v>
      </c>
      <c r="B8" s="130" t="s">
        <v>3</v>
      </c>
      <c r="C8" s="133" t="s">
        <v>4</v>
      </c>
      <c r="D8" s="134" t="s">
        <v>5</v>
      </c>
      <c r="E8" s="137" t="s">
        <v>6</v>
      </c>
      <c r="F8" s="137"/>
      <c r="G8" s="137" t="s">
        <v>7</v>
      </c>
      <c r="H8" s="137"/>
      <c r="I8" s="141" t="s">
        <v>8</v>
      </c>
      <c r="J8" s="141"/>
      <c r="K8" s="137" t="s">
        <v>9</v>
      </c>
    </row>
    <row r="9" spans="1:12" s="15" customFormat="1" ht="15.6">
      <c r="A9" s="129"/>
      <c r="B9" s="131"/>
      <c r="C9" s="133"/>
      <c r="D9" s="135"/>
      <c r="E9" s="137"/>
      <c r="F9" s="137"/>
      <c r="G9" s="137"/>
      <c r="H9" s="137"/>
      <c r="I9" s="141"/>
      <c r="J9" s="141"/>
      <c r="K9" s="137"/>
    </row>
    <row r="10" spans="1:12" s="15" customFormat="1" ht="15.6">
      <c r="A10" s="129"/>
      <c r="B10" s="131"/>
      <c r="C10" s="133"/>
      <c r="D10" s="135"/>
      <c r="E10" s="134" t="s">
        <v>10</v>
      </c>
      <c r="F10" s="137" t="s">
        <v>5</v>
      </c>
      <c r="G10" s="134" t="s">
        <v>10</v>
      </c>
      <c r="H10" s="137" t="s">
        <v>5</v>
      </c>
      <c r="I10" s="134" t="s">
        <v>10</v>
      </c>
      <c r="J10" s="137" t="s">
        <v>5</v>
      </c>
      <c r="K10" s="137"/>
    </row>
    <row r="11" spans="1:12" s="15" customFormat="1" ht="15.6">
      <c r="A11" s="129"/>
      <c r="B11" s="132"/>
      <c r="C11" s="133"/>
      <c r="D11" s="136"/>
      <c r="E11" s="136"/>
      <c r="F11" s="137"/>
      <c r="G11" s="136"/>
      <c r="H11" s="137"/>
      <c r="I11" s="136"/>
      <c r="J11" s="137"/>
      <c r="K11" s="137"/>
    </row>
    <row r="12" spans="1:12" s="20" customFormat="1" ht="13.8">
      <c r="A12" s="16"/>
      <c r="B12" s="16" t="s">
        <v>131</v>
      </c>
      <c r="C12" s="16"/>
      <c r="D12" s="17"/>
      <c r="E12" s="18"/>
      <c r="F12" s="18"/>
      <c r="G12" s="18"/>
      <c r="H12" s="18"/>
      <c r="I12" s="18"/>
      <c r="J12" s="18"/>
      <c r="K12" s="104">
        <f t="shared" ref="K12" si="0">J12+H12+F12</f>
        <v>0</v>
      </c>
    </row>
    <row r="13" spans="1:12" s="20" customFormat="1" ht="13.8">
      <c r="A13" s="16"/>
      <c r="B13" s="16"/>
      <c r="C13" s="16"/>
      <c r="D13" s="17"/>
      <c r="E13" s="18"/>
      <c r="F13" s="18"/>
      <c r="G13" s="18"/>
      <c r="H13" s="18"/>
      <c r="I13" s="18"/>
      <c r="J13" s="18"/>
      <c r="K13" s="19"/>
    </row>
    <row r="14" spans="1:12" s="20" customFormat="1" ht="13.8">
      <c r="A14" s="21">
        <v>1</v>
      </c>
      <c r="B14" s="22" t="s">
        <v>133</v>
      </c>
      <c r="C14" s="21" t="s">
        <v>31</v>
      </c>
      <c r="D14" s="26">
        <v>104.62</v>
      </c>
      <c r="E14" s="95"/>
      <c r="F14" s="95">
        <f>E14*D14</f>
        <v>0</v>
      </c>
      <c r="G14" s="95"/>
      <c r="H14" s="95">
        <f t="shared" ref="H14" si="1">G14*D14</f>
        <v>0</v>
      </c>
      <c r="I14" s="95"/>
      <c r="J14" s="95">
        <f t="shared" ref="J14" si="2">I14*D14</f>
        <v>0</v>
      </c>
      <c r="K14" s="96">
        <f t="shared" ref="K14" si="3">J14+H14+F14</f>
        <v>0</v>
      </c>
    </row>
    <row r="15" spans="1:12" s="20" customFormat="1" ht="27.6">
      <c r="A15" s="21">
        <f>A14+1</f>
        <v>2</v>
      </c>
      <c r="B15" s="22" t="s">
        <v>129</v>
      </c>
      <c r="C15" s="21" t="s">
        <v>31</v>
      </c>
      <c r="D15" s="26">
        <v>283.58</v>
      </c>
      <c r="E15" s="95"/>
      <c r="F15" s="95">
        <f t="shared" ref="F15:F19" si="4">E15*D15</f>
        <v>0</v>
      </c>
      <c r="G15" s="95"/>
      <c r="H15" s="95">
        <f t="shared" ref="H15" si="5">G15*D15</f>
        <v>0</v>
      </c>
      <c r="I15" s="95"/>
      <c r="J15" s="95">
        <f t="shared" ref="J15:J17" si="6">I15*D15</f>
        <v>0</v>
      </c>
      <c r="K15" s="96">
        <f t="shared" ref="K15:K17" si="7">J15+H15+F15</f>
        <v>0</v>
      </c>
      <c r="L15"/>
    </row>
    <row r="16" spans="1:12" s="20" customFormat="1">
      <c r="A16" s="21">
        <f>A15+1</f>
        <v>3</v>
      </c>
      <c r="B16" s="22" t="s">
        <v>130</v>
      </c>
      <c r="C16" s="21" t="s">
        <v>12</v>
      </c>
      <c r="D16" s="26">
        <v>172.5</v>
      </c>
      <c r="E16" s="95"/>
      <c r="F16" s="95">
        <f t="shared" si="4"/>
        <v>0</v>
      </c>
      <c r="G16" s="95"/>
      <c r="H16" s="95">
        <f>G16*D16</f>
        <v>0</v>
      </c>
      <c r="I16" s="95"/>
      <c r="J16" s="95">
        <f t="shared" si="6"/>
        <v>0</v>
      </c>
      <c r="K16" s="96">
        <f t="shared" si="7"/>
        <v>0</v>
      </c>
      <c r="L16"/>
    </row>
    <row r="17" spans="1:12" s="20" customFormat="1" ht="55.2">
      <c r="A17" s="21">
        <f>A16+1</f>
        <v>4</v>
      </c>
      <c r="B17" s="22" t="s">
        <v>134</v>
      </c>
      <c r="C17" s="21" t="s">
        <v>12</v>
      </c>
      <c r="D17" s="26">
        <v>65.23</v>
      </c>
      <c r="E17" s="95"/>
      <c r="F17" s="95">
        <f t="shared" si="4"/>
        <v>0</v>
      </c>
      <c r="G17" s="95"/>
      <c r="H17" s="95">
        <f>G17*D17</f>
        <v>0</v>
      </c>
      <c r="I17" s="95"/>
      <c r="J17" s="95">
        <f t="shared" si="6"/>
        <v>0</v>
      </c>
      <c r="K17" s="96">
        <f t="shared" si="7"/>
        <v>0</v>
      </c>
      <c r="L17"/>
    </row>
    <row r="18" spans="1:12">
      <c r="A18" s="21">
        <f>A17+1</f>
        <v>5</v>
      </c>
      <c r="B18" s="22" t="s">
        <v>203</v>
      </c>
      <c r="C18" s="21" t="s">
        <v>12</v>
      </c>
      <c r="D18" s="26">
        <f>D17+D16+D15*0.3</f>
        <v>322.80400000000003</v>
      </c>
      <c r="E18" s="95"/>
      <c r="F18" s="95">
        <f t="shared" si="4"/>
        <v>0</v>
      </c>
      <c r="G18" s="95"/>
      <c r="H18" s="95">
        <f>G18*D18</f>
        <v>0</v>
      </c>
      <c r="I18" s="95"/>
      <c r="J18" s="95">
        <f t="shared" ref="J18" si="8">I18*D18</f>
        <v>0</v>
      </c>
      <c r="K18" s="96">
        <f t="shared" ref="K18" si="9">J18+H18+F18</f>
        <v>0</v>
      </c>
    </row>
    <row r="19" spans="1:12" ht="27.6">
      <c r="A19" s="21">
        <f>A18+1</f>
        <v>6</v>
      </c>
      <c r="B19" s="22" t="s">
        <v>225</v>
      </c>
      <c r="C19" s="21" t="s">
        <v>226</v>
      </c>
      <c r="D19" s="26">
        <v>10</v>
      </c>
      <c r="E19" s="95"/>
      <c r="F19" s="95">
        <f t="shared" si="4"/>
        <v>0</v>
      </c>
      <c r="G19" s="95"/>
      <c r="H19" s="95">
        <f>G19*D19</f>
        <v>0</v>
      </c>
      <c r="I19" s="95"/>
      <c r="J19" s="95">
        <f t="shared" ref="J19" si="10">I19*D19</f>
        <v>0</v>
      </c>
      <c r="K19" s="96">
        <f t="shared" ref="K19" si="11">J19+H19+F19</f>
        <v>0</v>
      </c>
    </row>
    <row r="20" spans="1:12">
      <c r="A20" s="56"/>
      <c r="B20" s="57" t="s">
        <v>37</v>
      </c>
      <c r="C20" s="58"/>
      <c r="D20" s="50"/>
      <c r="E20" s="107"/>
      <c r="F20" s="107">
        <f>SUM(F14:F18)</f>
        <v>0</v>
      </c>
      <c r="G20" s="107"/>
      <c r="H20" s="107">
        <f>SUM(H14:H18)</f>
        <v>0</v>
      </c>
      <c r="I20" s="107"/>
      <c r="J20" s="107">
        <f>SUM(J14:J18)</f>
        <v>0</v>
      </c>
      <c r="K20" s="107">
        <f>SUM(K14:K18)</f>
        <v>0</v>
      </c>
    </row>
    <row r="21" spans="1:12">
      <c r="A21" s="56"/>
      <c r="B21" s="57" t="s">
        <v>121</v>
      </c>
      <c r="C21" s="64"/>
      <c r="D21" s="50"/>
      <c r="E21" s="107"/>
      <c r="F21" s="107"/>
      <c r="G21" s="107"/>
      <c r="H21" s="107"/>
      <c r="I21" s="107"/>
      <c r="J21" s="107"/>
      <c r="K21" s="107">
        <f>K20*C21</f>
        <v>0</v>
      </c>
    </row>
    <row r="22" spans="1:12">
      <c r="A22" s="56"/>
      <c r="B22" s="57" t="s">
        <v>37</v>
      </c>
      <c r="C22" s="58"/>
      <c r="D22" s="50"/>
      <c r="E22" s="107"/>
      <c r="F22" s="107"/>
      <c r="G22" s="107"/>
      <c r="H22" s="107"/>
      <c r="I22" s="107"/>
      <c r="J22" s="107"/>
      <c r="K22" s="107">
        <f>SUM(K20:K21)</f>
        <v>0</v>
      </c>
    </row>
    <row r="23" spans="1:12">
      <c r="A23" s="56"/>
      <c r="B23" s="57" t="s">
        <v>38</v>
      </c>
      <c r="C23" s="60"/>
      <c r="D23" s="50"/>
      <c r="E23" s="107"/>
      <c r="F23" s="107"/>
      <c r="G23" s="107"/>
      <c r="H23" s="107"/>
      <c r="I23" s="107"/>
      <c r="J23" s="107"/>
      <c r="K23" s="107">
        <f>K22*C23</f>
        <v>0</v>
      </c>
    </row>
    <row r="24" spans="1:12">
      <c r="A24" s="56"/>
      <c r="B24" s="44" t="s">
        <v>37</v>
      </c>
      <c r="C24" s="61"/>
      <c r="D24" s="50"/>
      <c r="E24" s="107"/>
      <c r="F24" s="107"/>
      <c r="G24" s="107"/>
      <c r="H24" s="107"/>
      <c r="I24" s="107"/>
      <c r="J24" s="107"/>
      <c r="K24" s="107">
        <f>SUM(K22:K23)</f>
        <v>0</v>
      </c>
    </row>
    <row r="25" spans="1:12">
      <c r="A25" s="56"/>
      <c r="B25" s="44" t="s">
        <v>39</v>
      </c>
      <c r="C25" s="62"/>
      <c r="D25" s="50"/>
      <c r="E25" s="107"/>
      <c r="F25" s="107"/>
      <c r="G25" s="107"/>
      <c r="H25" s="107"/>
      <c r="I25" s="107"/>
      <c r="J25" s="107"/>
      <c r="K25" s="107">
        <f>K24*C25</f>
        <v>0</v>
      </c>
    </row>
    <row r="26" spans="1:12">
      <c r="A26" s="56"/>
      <c r="B26" s="44" t="s">
        <v>37</v>
      </c>
      <c r="C26" s="61"/>
      <c r="D26" s="50"/>
      <c r="E26" s="107"/>
      <c r="F26" s="107"/>
      <c r="G26" s="107"/>
      <c r="H26" s="107"/>
      <c r="I26" s="107"/>
      <c r="J26" s="107"/>
      <c r="K26" s="107">
        <f>SUM(K24:K25)</f>
        <v>0</v>
      </c>
    </row>
    <row r="27" spans="1:12">
      <c r="A27" s="56"/>
      <c r="B27" s="44" t="s">
        <v>40</v>
      </c>
      <c r="C27" s="63"/>
      <c r="D27" s="50"/>
      <c r="E27" s="107"/>
      <c r="F27" s="107"/>
      <c r="G27" s="107"/>
      <c r="H27" s="107"/>
      <c r="I27" s="107"/>
      <c r="J27" s="107"/>
      <c r="K27" s="107">
        <f>K26*C27</f>
        <v>0</v>
      </c>
    </row>
    <row r="28" spans="1:12">
      <c r="A28" s="56"/>
      <c r="B28" s="44" t="s">
        <v>37</v>
      </c>
      <c r="C28" s="61"/>
      <c r="D28" s="50"/>
      <c r="E28" s="107"/>
      <c r="F28" s="107"/>
      <c r="G28" s="107"/>
      <c r="H28" s="107"/>
      <c r="I28" s="107"/>
      <c r="J28" s="107"/>
      <c r="K28" s="107">
        <f>SUM(K26:K27)</f>
        <v>0</v>
      </c>
    </row>
    <row r="29" spans="1:12">
      <c r="A29" s="56"/>
      <c r="B29" s="44" t="s">
        <v>41</v>
      </c>
      <c r="C29" s="64"/>
      <c r="D29" s="50"/>
      <c r="E29" s="107"/>
      <c r="F29" s="107"/>
      <c r="G29" s="107"/>
      <c r="H29" s="107"/>
      <c r="I29" s="107"/>
      <c r="J29" s="107"/>
      <c r="K29" s="107">
        <f>K28*C29</f>
        <v>0</v>
      </c>
    </row>
    <row r="30" spans="1:12">
      <c r="A30" s="56"/>
      <c r="B30" s="44" t="s">
        <v>37</v>
      </c>
      <c r="C30" s="61"/>
      <c r="D30" s="50"/>
      <c r="E30" s="107"/>
      <c r="F30" s="107"/>
      <c r="G30" s="107"/>
      <c r="H30" s="107"/>
      <c r="I30" s="107"/>
      <c r="J30" s="107"/>
      <c r="K30" s="107">
        <f>SUM(K28:K29)</f>
        <v>0</v>
      </c>
    </row>
  </sheetData>
  <mergeCells count="19">
    <mergeCell ref="G8:H9"/>
    <mergeCell ref="I8:J9"/>
    <mergeCell ref="K8:K11"/>
    <mergeCell ref="E10:E11"/>
    <mergeCell ref="F10:F11"/>
    <mergeCell ref="G10:G11"/>
    <mergeCell ref="H10:H11"/>
    <mergeCell ref="I10:I11"/>
    <mergeCell ref="J10:J11"/>
    <mergeCell ref="A1:K2"/>
    <mergeCell ref="A3:K3"/>
    <mergeCell ref="A4:K4"/>
    <mergeCell ref="G6:I6"/>
    <mergeCell ref="J6:K6"/>
    <mergeCell ref="A8:A11"/>
    <mergeCell ref="B8:B11"/>
    <mergeCell ref="C8:C11"/>
    <mergeCell ref="D8:D11"/>
    <mergeCell ref="E8:F9"/>
  </mergeCells>
  <pageMargins left="2.5000000000000001E-2" right="1.6666666666666666E-2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1F206-55C3-4509-ACA4-B4A22EAD652C}">
  <sheetPr>
    <tabColor rgb="FF92D050"/>
  </sheetPr>
  <dimension ref="A1:K261"/>
  <sheetViews>
    <sheetView zoomScaleNormal="100" workbookViewId="0">
      <selection activeCell="A3" sqref="A3:K3"/>
    </sheetView>
  </sheetViews>
  <sheetFormatPr defaultColWidth="9.109375" defaultRowHeight="14.4"/>
  <cols>
    <col min="1" max="1" width="4.6640625" style="49" customWidth="1"/>
    <col min="2" max="2" width="38.109375" style="49" customWidth="1"/>
    <col min="3" max="3" width="6.6640625" style="49" customWidth="1"/>
    <col min="4" max="4" width="11" style="65" customWidth="1"/>
    <col min="5" max="5" width="10" style="49" customWidth="1"/>
    <col min="6" max="6" width="14.88671875" style="49" customWidth="1"/>
    <col min="7" max="7" width="10" style="49" customWidth="1"/>
    <col min="8" max="8" width="13.5546875" style="49" customWidth="1"/>
    <col min="9" max="9" width="9.109375" style="49" customWidth="1"/>
    <col min="10" max="10" width="11.44140625" style="49" customWidth="1"/>
    <col min="11" max="11" width="15.109375" style="49" customWidth="1"/>
    <col min="12" max="16384" width="9.109375" style="49"/>
  </cols>
  <sheetData>
    <row r="1" spans="1:11" s="9" customFormat="1">
      <c r="A1" s="138" t="str">
        <f>დემონტაჟი!A1</f>
        <v>Wendy ვარკეთილი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9" customForma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9" customFormat="1" ht="15.75" customHeight="1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9" customFormat="1" ht="17.25" customHeight="1">
      <c r="A4" s="139" t="s">
        <v>169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s="9" customFormat="1">
      <c r="A5" s="68" t="s">
        <v>116</v>
      </c>
      <c r="B5" s="69" t="s">
        <v>117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s="13" customFormat="1" ht="13.8">
      <c r="A6" s="70" t="s">
        <v>118</v>
      </c>
      <c r="B6" s="71"/>
      <c r="C6" s="12"/>
      <c r="D6" s="12"/>
      <c r="E6" s="12"/>
      <c r="F6" s="12"/>
      <c r="G6" s="140" t="s">
        <v>1</v>
      </c>
      <c r="H6" s="140"/>
      <c r="I6" s="140"/>
      <c r="J6" s="140">
        <f>K253</f>
        <v>0</v>
      </c>
      <c r="K6" s="140"/>
    </row>
    <row r="7" spans="1:11" s="9" customFormat="1">
      <c r="A7" s="10"/>
      <c r="B7" s="11"/>
      <c r="C7" s="10"/>
      <c r="D7" s="10"/>
      <c r="E7" s="10"/>
      <c r="F7" s="10"/>
      <c r="G7" s="14"/>
      <c r="H7" s="14"/>
      <c r="I7" s="14"/>
      <c r="J7" s="14"/>
      <c r="K7" s="14"/>
    </row>
    <row r="8" spans="1:11" s="15" customFormat="1" ht="15.6">
      <c r="A8" s="129" t="s">
        <v>2</v>
      </c>
      <c r="B8" s="130" t="s">
        <v>3</v>
      </c>
      <c r="C8" s="133" t="s">
        <v>4</v>
      </c>
      <c r="D8" s="134" t="s">
        <v>5</v>
      </c>
      <c r="E8" s="137" t="s">
        <v>6</v>
      </c>
      <c r="F8" s="137"/>
      <c r="G8" s="137" t="s">
        <v>7</v>
      </c>
      <c r="H8" s="137"/>
      <c r="I8" s="141" t="s">
        <v>8</v>
      </c>
      <c r="J8" s="141"/>
      <c r="K8" s="137" t="s">
        <v>9</v>
      </c>
    </row>
    <row r="9" spans="1:11" s="15" customFormat="1" ht="15.6">
      <c r="A9" s="129"/>
      <c r="B9" s="131"/>
      <c r="C9" s="133"/>
      <c r="D9" s="135"/>
      <c r="E9" s="137"/>
      <c r="F9" s="137"/>
      <c r="G9" s="137"/>
      <c r="H9" s="137"/>
      <c r="I9" s="141"/>
      <c r="J9" s="141"/>
      <c r="K9" s="137"/>
    </row>
    <row r="10" spans="1:11" s="15" customFormat="1" ht="15.6">
      <c r="A10" s="129"/>
      <c r="B10" s="131"/>
      <c r="C10" s="133"/>
      <c r="D10" s="135"/>
      <c r="E10" s="134" t="s">
        <v>10</v>
      </c>
      <c r="F10" s="137" t="s">
        <v>5</v>
      </c>
      <c r="G10" s="134" t="s">
        <v>10</v>
      </c>
      <c r="H10" s="137" t="s">
        <v>5</v>
      </c>
      <c r="I10" s="134" t="s">
        <v>10</v>
      </c>
      <c r="J10" s="137" t="s">
        <v>5</v>
      </c>
      <c r="K10" s="137"/>
    </row>
    <row r="11" spans="1:11" s="15" customFormat="1" ht="15.6">
      <c r="A11" s="129"/>
      <c r="B11" s="132"/>
      <c r="C11" s="133"/>
      <c r="D11" s="136"/>
      <c r="E11" s="136"/>
      <c r="F11" s="137"/>
      <c r="G11" s="136"/>
      <c r="H11" s="137"/>
      <c r="I11" s="136"/>
      <c r="J11" s="137"/>
      <c r="K11" s="137"/>
    </row>
    <row r="12" spans="1:11" s="20" customFormat="1" ht="13.8">
      <c r="A12" s="16"/>
      <c r="B12" s="16" t="s">
        <v>49</v>
      </c>
      <c r="C12" s="16"/>
      <c r="D12" s="17"/>
      <c r="E12" s="18"/>
      <c r="F12" s="18"/>
      <c r="G12" s="18"/>
      <c r="H12" s="18"/>
      <c r="I12" s="18"/>
      <c r="J12" s="18"/>
      <c r="K12" s="19">
        <f t="shared" ref="K12" si="0">J12+H12+F12</f>
        <v>0</v>
      </c>
    </row>
    <row r="13" spans="1:11" s="20" customFormat="1" ht="13.8">
      <c r="A13" s="21">
        <v>1</v>
      </c>
      <c r="B13" s="22" t="s">
        <v>11</v>
      </c>
      <c r="C13" s="21" t="s">
        <v>12</v>
      </c>
      <c r="D13" s="109">
        <v>1356</v>
      </c>
      <c r="E13" s="95"/>
      <c r="F13" s="95"/>
      <c r="G13" s="95"/>
      <c r="H13" s="95"/>
      <c r="I13" s="95"/>
      <c r="J13" s="95"/>
      <c r="K13" s="96"/>
    </row>
    <row r="14" spans="1:11" s="29" customFormat="1" ht="13.8">
      <c r="A14" s="27"/>
      <c r="B14" s="24" t="s">
        <v>13</v>
      </c>
      <c r="C14" s="25" t="s">
        <v>12</v>
      </c>
      <c r="D14" s="28">
        <f>D13</f>
        <v>1356</v>
      </c>
      <c r="E14" s="97"/>
      <c r="F14" s="97"/>
      <c r="G14" s="97"/>
      <c r="H14" s="97"/>
      <c r="I14" s="97"/>
      <c r="J14" s="97"/>
      <c r="K14" s="96"/>
    </row>
    <row r="15" spans="1:11" s="29" customFormat="1" ht="27.6">
      <c r="A15" s="27">
        <f>A13+1</f>
        <v>2</v>
      </c>
      <c r="B15" s="22" t="s">
        <v>15</v>
      </c>
      <c r="C15" s="21" t="s">
        <v>12</v>
      </c>
      <c r="D15" s="112">
        <f>D13*5%</f>
        <v>67.8</v>
      </c>
      <c r="E15" s="97"/>
      <c r="F15" s="97"/>
      <c r="G15" s="97"/>
      <c r="H15" s="97"/>
      <c r="I15" s="97"/>
      <c r="J15" s="97"/>
      <c r="K15" s="96"/>
    </row>
    <row r="16" spans="1:11" s="29" customFormat="1" ht="13.8">
      <c r="A16" s="27"/>
      <c r="B16" s="24" t="s">
        <v>16</v>
      </c>
      <c r="C16" s="25" t="s">
        <v>12</v>
      </c>
      <c r="D16" s="28">
        <f>D15</f>
        <v>67.8</v>
      </c>
      <c r="E16" s="97"/>
      <c r="F16" s="97"/>
      <c r="G16" s="97"/>
      <c r="H16" s="97"/>
      <c r="I16" s="97"/>
      <c r="J16" s="97"/>
      <c r="K16" s="96"/>
    </row>
    <row r="17" spans="1:11" s="29" customFormat="1" ht="13.8">
      <c r="A17" s="21">
        <f>A15+1</f>
        <v>3</v>
      </c>
      <c r="B17" s="22" t="s">
        <v>14</v>
      </c>
      <c r="C17" s="21" t="s">
        <v>12</v>
      </c>
      <c r="D17" s="26">
        <f>D13+D15</f>
        <v>1423.8</v>
      </c>
      <c r="E17" s="95"/>
      <c r="F17" s="95"/>
      <c r="G17" s="95"/>
      <c r="H17" s="95"/>
      <c r="I17" s="95"/>
      <c r="J17" s="95"/>
      <c r="K17" s="96"/>
    </row>
    <row r="18" spans="1:11" s="31" customFormat="1" ht="27.6">
      <c r="A18" s="21">
        <f>A15+1</f>
        <v>3</v>
      </c>
      <c r="B18" s="22" t="s">
        <v>171</v>
      </c>
      <c r="C18" s="21" t="s">
        <v>12</v>
      </c>
      <c r="D18" s="109">
        <f>433*1.3</f>
        <v>562.9</v>
      </c>
      <c r="E18" s="95"/>
      <c r="F18" s="95"/>
      <c r="G18" s="95"/>
      <c r="H18" s="95"/>
      <c r="I18" s="95"/>
      <c r="J18" s="95"/>
      <c r="K18" s="96"/>
    </row>
    <row r="19" spans="1:11" s="32" customFormat="1" ht="13.8">
      <c r="A19" s="27"/>
      <c r="B19" s="24" t="s">
        <v>16</v>
      </c>
      <c r="C19" s="25" t="s">
        <v>12</v>
      </c>
      <c r="D19" s="28">
        <f>D18</f>
        <v>562.9</v>
      </c>
      <c r="E19" s="97"/>
      <c r="F19" s="97"/>
      <c r="G19" s="97"/>
      <c r="H19" s="97"/>
      <c r="I19" s="97"/>
      <c r="J19" s="97"/>
      <c r="K19" s="96"/>
    </row>
    <row r="20" spans="1:11" s="32" customFormat="1" ht="13.8">
      <c r="A20" s="27"/>
      <c r="B20" s="24" t="s">
        <v>8</v>
      </c>
      <c r="C20" s="25" t="s">
        <v>12</v>
      </c>
      <c r="D20" s="28">
        <f>D18</f>
        <v>562.9</v>
      </c>
      <c r="E20" s="97"/>
      <c r="F20" s="97"/>
      <c r="G20" s="97"/>
      <c r="H20" s="97"/>
      <c r="I20" s="97"/>
      <c r="J20" s="97"/>
      <c r="K20" s="96"/>
    </row>
    <row r="21" spans="1:11" s="32" customFormat="1" ht="13.8">
      <c r="A21" s="27"/>
      <c r="B21" s="24" t="s">
        <v>17</v>
      </c>
      <c r="C21" s="25"/>
      <c r="D21" s="28"/>
      <c r="E21" s="97"/>
      <c r="F21" s="97"/>
      <c r="G21" s="97"/>
      <c r="H21" s="97"/>
      <c r="I21" s="97"/>
      <c r="J21" s="97"/>
      <c r="K21" s="96"/>
    </row>
    <row r="22" spans="1:11" s="32" customFormat="1" ht="13.8">
      <c r="A22" s="27"/>
      <c r="B22" s="24" t="s">
        <v>42</v>
      </c>
      <c r="C22" s="25" t="s">
        <v>12</v>
      </c>
      <c r="D22" s="28">
        <f>D18*1.22</f>
        <v>686.73799999999994</v>
      </c>
      <c r="E22" s="97"/>
      <c r="F22" s="97"/>
      <c r="G22" s="97"/>
      <c r="H22" s="97"/>
      <c r="I22" s="97"/>
      <c r="J22" s="97"/>
      <c r="K22" s="96"/>
    </row>
    <row r="23" spans="1:11" s="31" customFormat="1" ht="27.6">
      <c r="A23" s="21">
        <f>A18+1</f>
        <v>4</v>
      </c>
      <c r="B23" s="22" t="s">
        <v>43</v>
      </c>
      <c r="C23" s="21" t="s">
        <v>12</v>
      </c>
      <c r="D23" s="109">
        <f>435*0.25</f>
        <v>108.75</v>
      </c>
      <c r="E23" s="95"/>
      <c r="F23" s="95"/>
      <c r="G23" s="95"/>
      <c r="H23" s="95"/>
      <c r="I23" s="95"/>
      <c r="J23" s="95"/>
      <c r="K23" s="96"/>
    </row>
    <row r="24" spans="1:11" s="32" customFormat="1" ht="13.8">
      <c r="A24" s="27"/>
      <c r="B24" s="24" t="s">
        <v>16</v>
      </c>
      <c r="C24" s="25" t="s">
        <v>12</v>
      </c>
      <c r="D24" s="28">
        <f>D23</f>
        <v>108.75</v>
      </c>
      <c r="E24" s="97"/>
      <c r="F24" s="97"/>
      <c r="G24" s="97"/>
      <c r="H24" s="97"/>
      <c r="I24" s="97"/>
      <c r="J24" s="97"/>
      <c r="K24" s="96"/>
    </row>
    <row r="25" spans="1:11" s="32" customFormat="1" ht="13.8">
      <c r="A25" s="27"/>
      <c r="B25" s="24" t="s">
        <v>8</v>
      </c>
      <c r="C25" s="25" t="s">
        <v>12</v>
      </c>
      <c r="D25" s="28">
        <f>D23</f>
        <v>108.75</v>
      </c>
      <c r="E25" s="97"/>
      <c r="F25" s="97"/>
      <c r="G25" s="97"/>
      <c r="H25" s="97"/>
      <c r="I25" s="97"/>
      <c r="J25" s="97"/>
      <c r="K25" s="96"/>
    </row>
    <row r="26" spans="1:11" s="32" customFormat="1" ht="13.8">
      <c r="A26" s="27"/>
      <c r="B26" s="24" t="s">
        <v>17</v>
      </c>
      <c r="C26" s="25"/>
      <c r="D26" s="28"/>
      <c r="E26" s="97"/>
      <c r="F26" s="97"/>
      <c r="G26" s="97"/>
      <c r="H26" s="97"/>
      <c r="I26" s="97"/>
      <c r="J26" s="97"/>
      <c r="K26" s="96"/>
    </row>
    <row r="27" spans="1:11" s="32" customFormat="1" ht="13.8">
      <c r="A27" s="27"/>
      <c r="B27" s="24" t="s">
        <v>18</v>
      </c>
      <c r="C27" s="25" t="s">
        <v>12</v>
      </c>
      <c r="D27" s="28">
        <f>D23*1.22</f>
        <v>132.67499999999998</v>
      </c>
      <c r="E27" s="97"/>
      <c r="F27" s="97"/>
      <c r="G27" s="97"/>
      <c r="H27" s="97"/>
      <c r="I27" s="97"/>
      <c r="J27" s="97"/>
      <c r="K27" s="96"/>
    </row>
    <row r="28" spans="1:11" s="20" customFormat="1" ht="13.8">
      <c r="A28" s="21">
        <f>A23+1</f>
        <v>5</v>
      </c>
      <c r="B28" s="22" t="s">
        <v>19</v>
      </c>
      <c r="C28" s="21" t="s">
        <v>12</v>
      </c>
      <c r="D28" s="109">
        <f>435*0.15</f>
        <v>65.25</v>
      </c>
      <c r="E28" s="95"/>
      <c r="F28" s="95"/>
      <c r="G28" s="95"/>
      <c r="H28" s="95"/>
      <c r="I28" s="95"/>
      <c r="J28" s="95"/>
      <c r="K28" s="96"/>
    </row>
    <row r="29" spans="1:11" s="29" customFormat="1" ht="13.8">
      <c r="A29" s="27"/>
      <c r="B29" s="24" t="s">
        <v>16</v>
      </c>
      <c r="C29" s="25" t="s">
        <v>12</v>
      </c>
      <c r="D29" s="28">
        <f>D28</f>
        <v>65.25</v>
      </c>
      <c r="E29" s="97"/>
      <c r="F29" s="97"/>
      <c r="G29" s="97"/>
      <c r="H29" s="97"/>
      <c r="I29" s="97"/>
      <c r="J29" s="97"/>
      <c r="K29" s="96"/>
    </row>
    <row r="30" spans="1:11" s="29" customFormat="1" ht="13.8">
      <c r="A30" s="27"/>
      <c r="B30" s="24" t="s">
        <v>20</v>
      </c>
      <c r="C30" s="23" t="s">
        <v>21</v>
      </c>
      <c r="D30" s="28">
        <f>D28</f>
        <v>65.25</v>
      </c>
      <c r="E30" s="97"/>
      <c r="F30" s="97"/>
      <c r="G30" s="97"/>
      <c r="H30" s="97"/>
      <c r="I30" s="97"/>
      <c r="J30" s="97"/>
      <c r="K30" s="96"/>
    </row>
    <row r="31" spans="1:11" s="29" customFormat="1" ht="13.8">
      <c r="A31" s="27"/>
      <c r="B31" s="24" t="s">
        <v>17</v>
      </c>
      <c r="C31" s="23"/>
      <c r="D31" s="28"/>
      <c r="E31" s="97"/>
      <c r="F31" s="97"/>
      <c r="G31" s="97"/>
      <c r="H31" s="97"/>
      <c r="I31" s="97"/>
      <c r="J31" s="97"/>
      <c r="K31" s="96"/>
    </row>
    <row r="32" spans="1:11" s="29" customFormat="1" ht="13.8">
      <c r="A32" s="27"/>
      <c r="B32" s="24" t="s">
        <v>22</v>
      </c>
      <c r="C32" s="25" t="s">
        <v>12</v>
      </c>
      <c r="D32" s="28">
        <f>D28*1.02</f>
        <v>66.555000000000007</v>
      </c>
      <c r="E32" s="97"/>
      <c r="F32" s="97"/>
      <c r="G32" s="97"/>
      <c r="H32" s="97"/>
      <c r="I32" s="97"/>
      <c r="J32" s="97"/>
      <c r="K32" s="96"/>
    </row>
    <row r="33" spans="1:11" s="29" customFormat="1" ht="13.8">
      <c r="A33" s="27"/>
      <c r="B33" s="24" t="s">
        <v>23</v>
      </c>
      <c r="C33" s="23" t="s">
        <v>21</v>
      </c>
      <c r="D33" s="28">
        <f>D28</f>
        <v>65.25</v>
      </c>
      <c r="E33" s="97"/>
      <c r="F33" s="97"/>
      <c r="G33" s="97"/>
      <c r="H33" s="97"/>
      <c r="I33" s="97"/>
      <c r="J33" s="97"/>
      <c r="K33" s="96"/>
    </row>
    <row r="34" spans="1:11" s="20" customFormat="1" ht="27.6">
      <c r="A34" s="21">
        <f>A28+1</f>
        <v>6</v>
      </c>
      <c r="B34" s="22" t="s">
        <v>135</v>
      </c>
      <c r="C34" s="21" t="s">
        <v>12</v>
      </c>
      <c r="D34" s="109">
        <v>205</v>
      </c>
      <c r="E34" s="95"/>
      <c r="F34" s="95"/>
      <c r="G34" s="95"/>
      <c r="H34" s="95"/>
      <c r="I34" s="95"/>
      <c r="J34" s="95"/>
      <c r="K34" s="95"/>
    </row>
    <row r="35" spans="1:11" s="29" customFormat="1" ht="13.8">
      <c r="A35" s="27"/>
      <c r="B35" s="24" t="s">
        <v>16</v>
      </c>
      <c r="C35" s="25" t="s">
        <v>12</v>
      </c>
      <c r="D35" s="28">
        <f>D34</f>
        <v>205</v>
      </c>
      <c r="E35" s="97"/>
      <c r="F35" s="97"/>
      <c r="G35" s="97"/>
      <c r="H35" s="97"/>
      <c r="I35" s="97"/>
      <c r="J35" s="97"/>
      <c r="K35" s="96"/>
    </row>
    <row r="36" spans="1:11" s="29" customFormat="1" ht="13.8">
      <c r="A36" s="27"/>
      <c r="B36" s="24" t="s">
        <v>20</v>
      </c>
      <c r="C36" s="23" t="s">
        <v>21</v>
      </c>
      <c r="D36" s="28">
        <f>D34</f>
        <v>205</v>
      </c>
      <c r="E36" s="97"/>
      <c r="F36" s="97"/>
      <c r="G36" s="97"/>
      <c r="H36" s="97"/>
      <c r="I36" s="97"/>
      <c r="J36" s="97"/>
      <c r="K36" s="96"/>
    </row>
    <row r="37" spans="1:11" s="29" customFormat="1" ht="13.8">
      <c r="A37" s="27"/>
      <c r="B37" s="24" t="s">
        <v>17</v>
      </c>
      <c r="C37" s="23"/>
      <c r="D37" s="28"/>
      <c r="E37" s="97"/>
      <c r="F37" s="97"/>
      <c r="G37" s="97"/>
      <c r="H37" s="97"/>
      <c r="I37" s="97"/>
      <c r="J37" s="97"/>
      <c r="K37" s="96"/>
    </row>
    <row r="38" spans="1:11" s="29" customFormat="1" ht="13.8">
      <c r="A38" s="27"/>
      <c r="B38" s="24" t="s">
        <v>24</v>
      </c>
      <c r="C38" s="25" t="s">
        <v>12</v>
      </c>
      <c r="D38" s="28">
        <f>D34*1.02</f>
        <v>209.1</v>
      </c>
      <c r="E38" s="97"/>
      <c r="F38" s="97"/>
      <c r="G38" s="97"/>
      <c r="H38" s="97"/>
      <c r="I38" s="97"/>
      <c r="J38" s="97"/>
      <c r="K38" s="96"/>
    </row>
    <row r="39" spans="1:11" s="29" customFormat="1" ht="13.8">
      <c r="A39" s="27"/>
      <c r="B39" s="24" t="s">
        <v>136</v>
      </c>
      <c r="C39" s="23" t="s">
        <v>132</v>
      </c>
      <c r="D39" s="110">
        <f>48.4*1.05/1000</f>
        <v>5.0819999999999997E-2</v>
      </c>
      <c r="E39" s="97"/>
      <c r="F39" s="97"/>
      <c r="G39" s="97"/>
      <c r="H39" s="97"/>
      <c r="I39" s="97"/>
      <c r="J39" s="97"/>
      <c r="K39" s="96"/>
    </row>
    <row r="40" spans="1:11" s="29" customFormat="1" ht="13.8">
      <c r="A40" s="27"/>
      <c r="B40" s="24" t="s">
        <v>25</v>
      </c>
      <c r="C40" s="23" t="s">
        <v>132</v>
      </c>
      <c r="D40" s="110">
        <f>3865*1.05/1000</f>
        <v>4.0582500000000001</v>
      </c>
      <c r="E40" s="97"/>
      <c r="F40" s="97"/>
      <c r="G40" s="97"/>
      <c r="H40" s="97"/>
      <c r="I40" s="97"/>
      <c r="J40" s="97"/>
      <c r="K40" s="96"/>
    </row>
    <row r="41" spans="1:11" s="29" customFormat="1" ht="13.8">
      <c r="A41" s="27"/>
      <c r="B41" s="24" t="s">
        <v>137</v>
      </c>
      <c r="C41" s="23" t="s">
        <v>132</v>
      </c>
      <c r="D41" s="110">
        <f>4033*1.05/1000</f>
        <v>4.2346500000000002</v>
      </c>
      <c r="E41" s="97"/>
      <c r="F41" s="97"/>
      <c r="G41" s="97"/>
      <c r="H41" s="97"/>
      <c r="I41" s="97"/>
      <c r="J41" s="97"/>
      <c r="K41" s="96"/>
    </row>
    <row r="42" spans="1:11" s="29" customFormat="1" ht="13.8">
      <c r="A42" s="27"/>
      <c r="B42" s="24" t="s">
        <v>138</v>
      </c>
      <c r="C42" s="23" t="s">
        <v>132</v>
      </c>
      <c r="D42" s="110">
        <f>426*1.05/1000</f>
        <v>0.44730000000000003</v>
      </c>
      <c r="E42" s="97"/>
      <c r="F42" s="97"/>
      <c r="G42" s="97"/>
      <c r="H42" s="97"/>
      <c r="I42" s="97"/>
      <c r="J42" s="97"/>
      <c r="K42" s="96"/>
    </row>
    <row r="43" spans="1:11" s="29" customFormat="1" ht="13.8">
      <c r="A43" s="27"/>
      <c r="B43" s="24" t="s">
        <v>139</v>
      </c>
      <c r="C43" s="23" t="s">
        <v>132</v>
      </c>
      <c r="D43" s="110">
        <f>191*1.05/1000</f>
        <v>0.20055000000000001</v>
      </c>
      <c r="E43" s="97"/>
      <c r="F43" s="97"/>
      <c r="G43" s="97"/>
      <c r="H43" s="97"/>
      <c r="I43" s="97"/>
      <c r="J43" s="97"/>
      <c r="K43" s="96"/>
    </row>
    <row r="44" spans="1:11" s="29" customFormat="1" ht="13.8">
      <c r="A44" s="27"/>
      <c r="B44" s="24" t="s">
        <v>140</v>
      </c>
      <c r="C44" s="23" t="s">
        <v>132</v>
      </c>
      <c r="D44" s="110">
        <f>347*1.05/1000</f>
        <v>0.36435000000000001</v>
      </c>
      <c r="E44" s="97"/>
      <c r="F44" s="97"/>
      <c r="G44" s="97"/>
      <c r="H44" s="97"/>
      <c r="I44" s="97"/>
      <c r="J44" s="97"/>
      <c r="K44" s="96"/>
    </row>
    <row r="45" spans="1:11" s="29" customFormat="1" ht="13.8">
      <c r="A45" s="27"/>
      <c r="B45" s="24" t="s">
        <v>27</v>
      </c>
      <c r="C45" s="23" t="s">
        <v>28</v>
      </c>
      <c r="D45" s="28">
        <f>(D44+D43+D42+D41+D40+D39)*9</f>
        <v>84.203279999999992</v>
      </c>
      <c r="E45" s="97"/>
      <c r="F45" s="97"/>
      <c r="G45" s="97"/>
      <c r="H45" s="97"/>
      <c r="I45" s="97"/>
      <c r="J45" s="97"/>
      <c r="K45" s="96"/>
    </row>
    <row r="46" spans="1:11" s="29" customFormat="1" ht="13.8">
      <c r="A46" s="27"/>
      <c r="B46" s="24" t="s">
        <v>29</v>
      </c>
      <c r="C46" s="25" t="s">
        <v>12</v>
      </c>
      <c r="D46" s="28">
        <f>D34</f>
        <v>205</v>
      </c>
      <c r="E46" s="97"/>
      <c r="F46" s="97"/>
      <c r="G46" s="97"/>
      <c r="H46" s="97"/>
      <c r="I46" s="97"/>
      <c r="J46" s="97"/>
      <c r="K46" s="96"/>
    </row>
    <row r="47" spans="1:11" s="29" customFormat="1" ht="13.8">
      <c r="A47" s="27"/>
      <c r="B47" s="24" t="s">
        <v>23</v>
      </c>
      <c r="C47" s="25" t="s">
        <v>21</v>
      </c>
      <c r="D47" s="28">
        <f>D34</f>
        <v>205</v>
      </c>
      <c r="E47" s="97"/>
      <c r="F47" s="97"/>
      <c r="G47" s="97"/>
      <c r="H47" s="97"/>
      <c r="I47" s="97"/>
      <c r="J47" s="97"/>
      <c r="K47" s="96"/>
    </row>
    <row r="48" spans="1:11" s="20" customFormat="1" ht="27.6">
      <c r="A48" s="21">
        <f>A34+1</f>
        <v>7</v>
      </c>
      <c r="B48" s="22" t="s">
        <v>45</v>
      </c>
      <c r="C48" s="23" t="s">
        <v>31</v>
      </c>
      <c r="D48" s="109">
        <f>97*1.5</f>
        <v>145.5</v>
      </c>
      <c r="E48" s="95"/>
      <c r="F48" s="95"/>
      <c r="G48" s="95"/>
      <c r="H48" s="95"/>
      <c r="I48" s="95"/>
      <c r="J48" s="95"/>
      <c r="K48" s="95"/>
    </row>
    <row r="49" spans="1:11" s="29" customFormat="1" ht="13.8">
      <c r="A49" s="37"/>
      <c r="B49" s="38" t="s">
        <v>16</v>
      </c>
      <c r="C49" s="39" t="s">
        <v>31</v>
      </c>
      <c r="D49" s="40">
        <f>D48</f>
        <v>145.5</v>
      </c>
      <c r="E49" s="100"/>
      <c r="F49" s="100"/>
      <c r="G49" s="100"/>
      <c r="H49" s="100"/>
      <c r="I49" s="100"/>
      <c r="J49" s="100"/>
      <c r="K49" s="101"/>
    </row>
    <row r="50" spans="1:11" s="29" customFormat="1" ht="13.8">
      <c r="A50" s="27"/>
      <c r="B50" s="24" t="s">
        <v>20</v>
      </c>
      <c r="C50" s="25" t="s">
        <v>21</v>
      </c>
      <c r="D50" s="28">
        <f>D48*0.21</f>
        <v>30.555</v>
      </c>
      <c r="E50" s="97"/>
      <c r="F50" s="97"/>
      <c r="G50" s="97"/>
      <c r="H50" s="97"/>
      <c r="I50" s="97"/>
      <c r="J50" s="97"/>
      <c r="K50" s="96"/>
    </row>
    <row r="51" spans="1:11" s="29" customFormat="1" ht="13.8">
      <c r="A51" s="27"/>
      <c r="B51" s="24" t="s">
        <v>17</v>
      </c>
      <c r="C51" s="25"/>
      <c r="D51" s="28"/>
      <c r="E51" s="97"/>
      <c r="F51" s="97"/>
      <c r="G51" s="97"/>
      <c r="H51" s="97"/>
      <c r="I51" s="97"/>
      <c r="J51" s="97"/>
      <c r="K51" s="96"/>
    </row>
    <row r="52" spans="1:11" s="29" customFormat="1" ht="13.8">
      <c r="A52" s="27"/>
      <c r="B52" s="24" t="s">
        <v>46</v>
      </c>
      <c r="C52" s="23" t="s">
        <v>31</v>
      </c>
      <c r="D52" s="28">
        <f>D48*1.15</f>
        <v>167.32499999999999</v>
      </c>
      <c r="E52" s="97"/>
      <c r="F52" s="97"/>
      <c r="G52" s="97"/>
      <c r="H52" s="97"/>
      <c r="I52" s="97"/>
      <c r="J52" s="97"/>
      <c r="K52" s="96"/>
    </row>
    <row r="53" spans="1:11" s="29" customFormat="1" ht="13.8">
      <c r="A53" s="27"/>
      <c r="B53" s="24" t="s">
        <v>97</v>
      </c>
      <c r="C53" s="23" t="s">
        <v>31</v>
      </c>
      <c r="D53" s="28">
        <f>D52</f>
        <v>167.32499999999999</v>
      </c>
      <c r="E53" s="97"/>
      <c r="F53" s="97"/>
      <c r="G53" s="97"/>
      <c r="H53" s="97"/>
      <c r="I53" s="97"/>
      <c r="J53" s="97"/>
      <c r="K53" s="96"/>
    </row>
    <row r="54" spans="1:11" s="29" customFormat="1" ht="13.8">
      <c r="A54" s="27"/>
      <c r="B54" s="24" t="s">
        <v>98</v>
      </c>
      <c r="C54" s="23" t="s">
        <v>34</v>
      </c>
      <c r="D54" s="28">
        <f>D53*5</f>
        <v>836.625</v>
      </c>
      <c r="E54" s="97"/>
      <c r="F54" s="97"/>
      <c r="G54" s="97"/>
      <c r="H54" s="97"/>
      <c r="I54" s="97"/>
      <c r="J54" s="97"/>
      <c r="K54" s="96"/>
    </row>
    <row r="55" spans="1:11" s="29" customFormat="1" ht="13.8">
      <c r="A55" s="27"/>
      <c r="B55" s="24" t="s">
        <v>47</v>
      </c>
      <c r="C55" s="25" t="s">
        <v>28</v>
      </c>
      <c r="D55" s="28">
        <f>D48*0.35</f>
        <v>50.924999999999997</v>
      </c>
      <c r="E55" s="97"/>
      <c r="F55" s="97"/>
      <c r="G55" s="97"/>
      <c r="H55" s="97"/>
      <c r="I55" s="97"/>
      <c r="J55" s="97"/>
      <c r="K55" s="96"/>
    </row>
    <row r="56" spans="1:11" s="29" customFormat="1" ht="13.8">
      <c r="A56" s="27"/>
      <c r="B56" s="24" t="s">
        <v>48</v>
      </c>
      <c r="C56" s="25" t="s">
        <v>28</v>
      </c>
      <c r="D56" s="28">
        <f>D48*0.15</f>
        <v>21.824999999999999</v>
      </c>
      <c r="E56" s="97"/>
      <c r="F56" s="97"/>
      <c r="G56" s="97"/>
      <c r="H56" s="97"/>
      <c r="I56" s="97"/>
      <c r="J56" s="97"/>
      <c r="K56" s="96"/>
    </row>
    <row r="57" spans="1:11" s="29" customFormat="1" ht="27.6">
      <c r="A57" s="21">
        <f>A48+1</f>
        <v>8</v>
      </c>
      <c r="B57" s="22" t="s">
        <v>147</v>
      </c>
      <c r="C57" s="21" t="s">
        <v>26</v>
      </c>
      <c r="D57" s="109">
        <f>(D61+D62)/1.05</f>
        <v>5.3999999999999999E-2</v>
      </c>
      <c r="E57" s="95"/>
      <c r="F57" s="95"/>
      <c r="G57" s="95"/>
      <c r="H57" s="95"/>
      <c r="I57" s="95"/>
      <c r="J57" s="95"/>
      <c r="K57" s="95"/>
    </row>
    <row r="58" spans="1:11" s="29" customFormat="1" ht="13.8">
      <c r="A58" s="27"/>
      <c r="B58" s="24" t="s">
        <v>16</v>
      </c>
      <c r="C58" s="25" t="s">
        <v>26</v>
      </c>
      <c r="D58" s="28">
        <f>D57</f>
        <v>5.3999999999999999E-2</v>
      </c>
      <c r="E58" s="97"/>
      <c r="F58" s="97"/>
      <c r="G58" s="97"/>
      <c r="H58" s="97"/>
      <c r="I58" s="97"/>
      <c r="J58" s="97"/>
      <c r="K58" s="96"/>
    </row>
    <row r="59" spans="1:11" s="29" customFormat="1" ht="13.8">
      <c r="A59" s="27"/>
      <c r="B59" s="24" t="s">
        <v>20</v>
      </c>
      <c r="C59" s="23" t="s">
        <v>21</v>
      </c>
      <c r="D59" s="28">
        <f>D57*50.2</f>
        <v>2.7108000000000003</v>
      </c>
      <c r="E59" s="97"/>
      <c r="F59" s="97"/>
      <c r="G59" s="97"/>
      <c r="H59" s="97"/>
      <c r="I59" s="97"/>
      <c r="J59" s="97"/>
      <c r="K59" s="96"/>
    </row>
    <row r="60" spans="1:11" s="20" customFormat="1" ht="13.8">
      <c r="A60" s="27"/>
      <c r="B60" s="24" t="s">
        <v>17</v>
      </c>
      <c r="C60" s="23"/>
      <c r="D60" s="28"/>
      <c r="E60" s="97"/>
      <c r="F60" s="97"/>
      <c r="G60" s="97"/>
      <c r="H60" s="97"/>
      <c r="I60" s="97"/>
      <c r="J60" s="97"/>
      <c r="K60" s="96"/>
    </row>
    <row r="61" spans="1:11" s="29" customFormat="1" ht="13.8">
      <c r="A61" s="27"/>
      <c r="B61" s="24" t="s">
        <v>148</v>
      </c>
      <c r="C61" s="23" t="s">
        <v>132</v>
      </c>
      <c r="D61" s="110">
        <f>28.4*1.05/1000</f>
        <v>2.9819999999999999E-2</v>
      </c>
      <c r="E61" s="97"/>
      <c r="F61" s="97"/>
      <c r="G61" s="97"/>
      <c r="H61" s="97"/>
      <c r="I61" s="97"/>
      <c r="J61" s="97"/>
      <c r="K61" s="96"/>
    </row>
    <row r="62" spans="1:11" s="29" customFormat="1" ht="13.8">
      <c r="A62" s="27"/>
      <c r="B62" s="24" t="s">
        <v>149</v>
      </c>
      <c r="C62" s="25" t="s">
        <v>132</v>
      </c>
      <c r="D62" s="110">
        <f>25.6*1.05/1000</f>
        <v>2.6880000000000001E-2</v>
      </c>
      <c r="E62" s="97"/>
      <c r="F62" s="97"/>
      <c r="G62" s="97"/>
      <c r="H62" s="97"/>
      <c r="I62" s="97"/>
      <c r="J62" s="97"/>
      <c r="K62" s="96"/>
    </row>
    <row r="63" spans="1:11" s="29" customFormat="1" ht="13.8">
      <c r="A63" s="27"/>
      <c r="B63" s="24" t="s">
        <v>32</v>
      </c>
      <c r="C63" s="25" t="s">
        <v>28</v>
      </c>
      <c r="D63" s="28">
        <f>D57*25</f>
        <v>1.35</v>
      </c>
      <c r="E63" s="97"/>
      <c r="F63" s="97"/>
      <c r="G63" s="97"/>
      <c r="H63" s="97"/>
      <c r="I63" s="97"/>
      <c r="J63" s="97"/>
      <c r="K63" s="96"/>
    </row>
    <row r="64" spans="1:11" s="29" customFormat="1" ht="13.8">
      <c r="A64" s="33"/>
      <c r="B64" s="34" t="s">
        <v>23</v>
      </c>
      <c r="C64" s="35" t="s">
        <v>21</v>
      </c>
      <c r="D64" s="36">
        <f>D57*36.7</f>
        <v>1.9818000000000002</v>
      </c>
      <c r="E64" s="98"/>
      <c r="F64" s="98"/>
      <c r="G64" s="98"/>
      <c r="H64" s="98"/>
      <c r="I64" s="98"/>
      <c r="J64" s="98"/>
      <c r="K64" s="99"/>
    </row>
    <row r="65" spans="1:11" s="29" customFormat="1" ht="27.6">
      <c r="A65" s="21">
        <f>A57+1</f>
        <v>9</v>
      </c>
      <c r="B65" s="22" t="s">
        <v>145</v>
      </c>
      <c r="C65" s="21" t="s">
        <v>12</v>
      </c>
      <c r="D65" s="109">
        <f>0.4*12+0.4*4+0.4*5</f>
        <v>8.4</v>
      </c>
      <c r="E65" s="95"/>
      <c r="F65" s="95"/>
      <c r="G65" s="95"/>
      <c r="H65" s="95"/>
      <c r="I65" s="95"/>
      <c r="J65" s="95"/>
      <c r="K65" s="95"/>
    </row>
    <row r="66" spans="1:11" s="29" customFormat="1" ht="13.8">
      <c r="A66" s="27"/>
      <c r="B66" s="24" t="s">
        <v>16</v>
      </c>
      <c r="C66" s="25" t="s">
        <v>12</v>
      </c>
      <c r="D66" s="28">
        <f>D65</f>
        <v>8.4</v>
      </c>
      <c r="E66" s="97"/>
      <c r="F66" s="97"/>
      <c r="G66" s="97"/>
      <c r="H66" s="97"/>
      <c r="I66" s="97"/>
      <c r="J66" s="97"/>
      <c r="K66" s="96"/>
    </row>
    <row r="67" spans="1:11" s="29" customFormat="1" ht="13.8">
      <c r="A67" s="27"/>
      <c r="B67" s="24" t="s">
        <v>20</v>
      </c>
      <c r="C67" s="23" t="s">
        <v>21</v>
      </c>
      <c r="D67" s="28">
        <f>D65</f>
        <v>8.4</v>
      </c>
      <c r="E67" s="97"/>
      <c r="F67" s="97"/>
      <c r="G67" s="97"/>
      <c r="H67" s="97"/>
      <c r="I67" s="97"/>
      <c r="J67" s="97"/>
      <c r="K67" s="96"/>
    </row>
    <row r="68" spans="1:11" s="29" customFormat="1" ht="13.8">
      <c r="A68" s="27"/>
      <c r="B68" s="24" t="s">
        <v>17</v>
      </c>
      <c r="C68" s="23"/>
      <c r="D68" s="28"/>
      <c r="E68" s="97"/>
      <c r="F68" s="97"/>
      <c r="G68" s="97"/>
      <c r="H68" s="97"/>
      <c r="I68" s="97"/>
      <c r="J68" s="97"/>
      <c r="K68" s="96"/>
    </row>
    <row r="69" spans="1:11" s="29" customFormat="1" ht="13.8">
      <c r="A69" s="27"/>
      <c r="B69" s="24" t="s">
        <v>24</v>
      </c>
      <c r="C69" s="25" t="s">
        <v>12</v>
      </c>
      <c r="D69" s="28">
        <f>D65*1.02</f>
        <v>8.5680000000000014</v>
      </c>
      <c r="E69" s="97"/>
      <c r="F69" s="97"/>
      <c r="G69" s="97"/>
      <c r="H69" s="97"/>
      <c r="I69" s="97"/>
      <c r="J69" s="97"/>
      <c r="K69" s="96"/>
    </row>
    <row r="70" spans="1:11" s="29" customFormat="1" ht="13.8">
      <c r="A70" s="27"/>
      <c r="B70" s="24" t="s">
        <v>144</v>
      </c>
      <c r="C70" s="23" t="s">
        <v>132</v>
      </c>
      <c r="D70" s="110">
        <f>(37.1*12+38.2*4+39.2*5)*1.05/1000</f>
        <v>0.8337</v>
      </c>
      <c r="E70" s="97"/>
      <c r="F70" s="97"/>
      <c r="G70" s="97"/>
      <c r="H70" s="97"/>
      <c r="I70" s="97"/>
      <c r="J70" s="97"/>
      <c r="K70" s="96"/>
    </row>
    <row r="71" spans="1:11" s="29" customFormat="1" ht="13.8">
      <c r="A71" s="27"/>
      <c r="B71" s="24" t="s">
        <v>138</v>
      </c>
      <c r="C71" s="23" t="s">
        <v>132</v>
      </c>
      <c r="D71" s="110">
        <f>117*12*1.05/1000</f>
        <v>1.4742</v>
      </c>
      <c r="E71" s="97"/>
      <c r="F71" s="97"/>
      <c r="G71" s="97"/>
      <c r="H71" s="97"/>
      <c r="I71" s="97"/>
      <c r="J71" s="97"/>
      <c r="K71" s="96"/>
    </row>
    <row r="72" spans="1:11" s="20" customFormat="1" ht="13.8">
      <c r="A72" s="27"/>
      <c r="B72" s="24" t="s">
        <v>139</v>
      </c>
      <c r="C72" s="23" t="s">
        <v>132</v>
      </c>
      <c r="D72" s="110">
        <f>142*4*1.05/1000</f>
        <v>0.59639999999999993</v>
      </c>
      <c r="E72" s="97"/>
      <c r="F72" s="97"/>
      <c r="G72" s="97"/>
      <c r="H72" s="97"/>
      <c r="I72" s="97"/>
      <c r="J72" s="97"/>
      <c r="K72" s="96"/>
    </row>
    <row r="73" spans="1:11" s="29" customFormat="1" ht="13.8">
      <c r="A73" s="27"/>
      <c r="B73" s="24" t="s">
        <v>140</v>
      </c>
      <c r="C73" s="23" t="s">
        <v>132</v>
      </c>
      <c r="D73" s="110">
        <f>183*5*1.05/1000</f>
        <v>0.96074999999999999</v>
      </c>
      <c r="E73" s="97"/>
      <c r="F73" s="97"/>
      <c r="G73" s="97"/>
      <c r="H73" s="97"/>
      <c r="I73" s="97"/>
      <c r="J73" s="97"/>
      <c r="K73" s="96"/>
    </row>
    <row r="74" spans="1:11" s="29" customFormat="1" ht="13.8">
      <c r="A74" s="27"/>
      <c r="B74" s="24" t="s">
        <v>27</v>
      </c>
      <c r="C74" s="23" t="s">
        <v>28</v>
      </c>
      <c r="D74" s="28">
        <f>(D73+D72+D71+D70)*9</f>
        <v>34.785449999999997</v>
      </c>
      <c r="E74" s="97"/>
      <c r="F74" s="97"/>
      <c r="G74" s="97"/>
      <c r="H74" s="97"/>
      <c r="I74" s="97"/>
      <c r="J74" s="97"/>
      <c r="K74" s="96"/>
    </row>
    <row r="75" spans="1:11" s="29" customFormat="1" ht="13.8">
      <c r="A75" s="27"/>
      <c r="B75" s="24" t="s">
        <v>29</v>
      </c>
      <c r="C75" s="25" t="s">
        <v>12</v>
      </c>
      <c r="D75" s="28">
        <f>D65</f>
        <v>8.4</v>
      </c>
      <c r="E75" s="97"/>
      <c r="F75" s="97"/>
      <c r="G75" s="97"/>
      <c r="H75" s="97"/>
      <c r="I75" s="97"/>
      <c r="J75" s="97"/>
      <c r="K75" s="96"/>
    </row>
    <row r="76" spans="1:11" s="29" customFormat="1" ht="13.8">
      <c r="A76" s="27"/>
      <c r="B76" s="24" t="s">
        <v>23</v>
      </c>
      <c r="C76" s="25" t="s">
        <v>21</v>
      </c>
      <c r="D76" s="28">
        <f>D65</f>
        <v>8.4</v>
      </c>
      <c r="E76" s="97"/>
      <c r="F76" s="97"/>
      <c r="G76" s="97"/>
      <c r="H76" s="97"/>
      <c r="I76" s="97"/>
      <c r="J76" s="97"/>
      <c r="K76" s="96"/>
    </row>
    <row r="77" spans="1:11" s="29" customFormat="1" ht="27.6">
      <c r="A77" s="21">
        <f>A65+1</f>
        <v>10</v>
      </c>
      <c r="B77" s="22" t="s">
        <v>167</v>
      </c>
      <c r="C77" s="21" t="s">
        <v>12</v>
      </c>
      <c r="D77" s="109">
        <v>10.5</v>
      </c>
      <c r="E77" s="95"/>
      <c r="F77" s="95"/>
      <c r="G77" s="95"/>
      <c r="H77" s="95"/>
      <c r="I77" s="95"/>
      <c r="J77" s="95"/>
      <c r="K77" s="95"/>
    </row>
    <row r="78" spans="1:11" s="29" customFormat="1" ht="13.8">
      <c r="A78" s="27"/>
      <c r="B78" s="24" t="s">
        <v>16</v>
      </c>
      <c r="C78" s="25" t="s">
        <v>12</v>
      </c>
      <c r="D78" s="28">
        <f>D77</f>
        <v>10.5</v>
      </c>
      <c r="E78" s="97"/>
      <c r="F78" s="97"/>
      <c r="G78" s="97"/>
      <c r="H78" s="97"/>
      <c r="I78" s="97"/>
      <c r="J78" s="97"/>
      <c r="K78" s="96"/>
    </row>
    <row r="79" spans="1:11" s="29" customFormat="1" ht="13.8">
      <c r="A79" s="27"/>
      <c r="B79" s="24" t="s">
        <v>20</v>
      </c>
      <c r="C79" s="23" t="s">
        <v>21</v>
      </c>
      <c r="D79" s="28">
        <f>D77</f>
        <v>10.5</v>
      </c>
      <c r="E79" s="97"/>
      <c r="F79" s="97"/>
      <c r="G79" s="97"/>
      <c r="H79" s="97"/>
      <c r="I79" s="97"/>
      <c r="J79" s="97"/>
      <c r="K79" s="96"/>
    </row>
    <row r="80" spans="1:11" s="29" customFormat="1" ht="13.8">
      <c r="A80" s="27"/>
      <c r="B80" s="24" t="s">
        <v>17</v>
      </c>
      <c r="C80" s="23"/>
      <c r="D80" s="28"/>
      <c r="E80" s="97"/>
      <c r="F80" s="97"/>
      <c r="G80" s="97"/>
      <c r="H80" s="97"/>
      <c r="I80" s="97"/>
      <c r="J80" s="97"/>
      <c r="K80" s="96"/>
    </row>
    <row r="81" spans="1:11" s="29" customFormat="1" ht="13.8">
      <c r="A81" s="27"/>
      <c r="B81" s="24" t="s">
        <v>24</v>
      </c>
      <c r="C81" s="25" t="s">
        <v>12</v>
      </c>
      <c r="D81" s="28">
        <f>D77*1.02</f>
        <v>10.71</v>
      </c>
      <c r="E81" s="97"/>
      <c r="F81" s="97"/>
      <c r="G81" s="97"/>
      <c r="H81" s="97"/>
      <c r="I81" s="97"/>
      <c r="J81" s="97"/>
      <c r="K81" s="96"/>
    </row>
    <row r="82" spans="1:11" s="29" customFormat="1" ht="13.8">
      <c r="A82" s="27"/>
      <c r="B82" s="24" t="s">
        <v>144</v>
      </c>
      <c r="C82" s="23" t="s">
        <v>132</v>
      </c>
      <c r="D82" s="110">
        <f>724*1.05/1000</f>
        <v>0.7602000000000001</v>
      </c>
      <c r="E82" s="97"/>
      <c r="F82" s="97"/>
      <c r="G82" s="97"/>
      <c r="H82" s="97"/>
      <c r="I82" s="97"/>
      <c r="J82" s="97"/>
      <c r="K82" s="96"/>
    </row>
    <row r="83" spans="1:11" s="20" customFormat="1" ht="13.8">
      <c r="A83" s="27"/>
      <c r="B83" s="24" t="s">
        <v>146</v>
      </c>
      <c r="C83" s="23" t="s">
        <v>132</v>
      </c>
      <c r="D83" s="110">
        <f>1742*1.05/1000</f>
        <v>1.8291000000000002</v>
      </c>
      <c r="E83" s="97"/>
      <c r="F83" s="97"/>
      <c r="G83" s="97"/>
      <c r="H83" s="97"/>
      <c r="I83" s="97"/>
      <c r="J83" s="97"/>
      <c r="K83" s="96"/>
    </row>
    <row r="84" spans="1:11" s="29" customFormat="1" ht="13.8">
      <c r="A84" s="27"/>
      <c r="B84" s="24" t="s">
        <v>138</v>
      </c>
      <c r="C84" s="23" t="s">
        <v>132</v>
      </c>
      <c r="D84" s="110">
        <f>456*1.05/1000</f>
        <v>0.4788</v>
      </c>
      <c r="E84" s="97"/>
      <c r="F84" s="97"/>
      <c r="G84" s="97"/>
      <c r="H84" s="97"/>
      <c r="I84" s="97"/>
      <c r="J84" s="97"/>
      <c r="K84" s="96"/>
    </row>
    <row r="85" spans="1:11" s="29" customFormat="1" ht="13.8">
      <c r="A85" s="27"/>
      <c r="B85" s="24" t="s">
        <v>140</v>
      </c>
      <c r="C85" s="23" t="s">
        <v>132</v>
      </c>
      <c r="D85" s="110">
        <f>1236*1.05/1000</f>
        <v>1.2978000000000001</v>
      </c>
      <c r="E85" s="97"/>
      <c r="F85" s="97"/>
      <c r="G85" s="97"/>
      <c r="H85" s="97"/>
      <c r="I85" s="97"/>
      <c r="J85" s="97"/>
      <c r="K85" s="96"/>
    </row>
    <row r="86" spans="1:11" s="29" customFormat="1" ht="13.8">
      <c r="A86" s="27"/>
      <c r="B86" s="24" t="s">
        <v>27</v>
      </c>
      <c r="C86" s="23" t="s">
        <v>28</v>
      </c>
      <c r="D86" s="28">
        <f>(D85+D84+D83+D82)*9</f>
        <v>39.29310000000001</v>
      </c>
      <c r="E86" s="97"/>
      <c r="F86" s="97"/>
      <c r="G86" s="97"/>
      <c r="H86" s="97"/>
      <c r="I86" s="97"/>
      <c r="J86" s="97"/>
      <c r="K86" s="96"/>
    </row>
    <row r="87" spans="1:11" s="29" customFormat="1" ht="13.8">
      <c r="A87" s="27"/>
      <c r="B87" s="24" t="s">
        <v>29</v>
      </c>
      <c r="C87" s="25" t="s">
        <v>12</v>
      </c>
      <c r="D87" s="28">
        <f>D77</f>
        <v>10.5</v>
      </c>
      <c r="E87" s="97"/>
      <c r="F87" s="97"/>
      <c r="G87" s="97"/>
      <c r="H87" s="97"/>
      <c r="I87" s="97"/>
      <c r="J87" s="97"/>
      <c r="K87" s="96"/>
    </row>
    <row r="88" spans="1:11" s="29" customFormat="1" ht="13.8">
      <c r="A88" s="27"/>
      <c r="B88" s="24" t="s">
        <v>23</v>
      </c>
      <c r="C88" s="25" t="s">
        <v>21</v>
      </c>
      <c r="D88" s="28">
        <f>D77</f>
        <v>10.5</v>
      </c>
      <c r="E88" s="97"/>
      <c r="F88" s="97"/>
      <c r="G88" s="97"/>
      <c r="H88" s="97"/>
      <c r="I88" s="97"/>
      <c r="J88" s="97"/>
      <c r="K88" s="96"/>
    </row>
    <row r="89" spans="1:11" s="29" customFormat="1" ht="27.6">
      <c r="A89" s="21">
        <f>A77+1</f>
        <v>11</v>
      </c>
      <c r="B89" s="22" t="s">
        <v>141</v>
      </c>
      <c r="C89" s="21" t="s">
        <v>12</v>
      </c>
      <c r="D89" s="109">
        <v>65</v>
      </c>
      <c r="E89" s="95"/>
      <c r="F89" s="95"/>
      <c r="G89" s="95"/>
      <c r="H89" s="95"/>
      <c r="I89" s="95"/>
      <c r="J89" s="95"/>
      <c r="K89" s="95"/>
    </row>
    <row r="90" spans="1:11" s="29" customFormat="1" ht="13.8">
      <c r="A90" s="27"/>
      <c r="B90" s="24" t="s">
        <v>16</v>
      </c>
      <c r="C90" s="25" t="s">
        <v>12</v>
      </c>
      <c r="D90" s="28">
        <f>D89</f>
        <v>65</v>
      </c>
      <c r="E90" s="97"/>
      <c r="F90" s="97"/>
      <c r="G90" s="97"/>
      <c r="H90" s="97"/>
      <c r="I90" s="97"/>
      <c r="J90" s="97"/>
      <c r="K90" s="96"/>
    </row>
    <row r="91" spans="1:11" s="29" customFormat="1" ht="13.8">
      <c r="A91" s="27"/>
      <c r="B91" s="24" t="s">
        <v>20</v>
      </c>
      <c r="C91" s="23" t="s">
        <v>21</v>
      </c>
      <c r="D91" s="28">
        <f>D89</f>
        <v>65</v>
      </c>
      <c r="E91" s="97"/>
      <c r="F91" s="97"/>
      <c r="G91" s="97"/>
      <c r="H91" s="97"/>
      <c r="I91" s="97"/>
      <c r="J91" s="97"/>
      <c r="K91" s="96"/>
    </row>
    <row r="92" spans="1:11" s="29" customFormat="1" ht="13.8">
      <c r="A92" s="27"/>
      <c r="B92" s="24" t="s">
        <v>17</v>
      </c>
      <c r="C92" s="23"/>
      <c r="D92" s="28"/>
      <c r="E92" s="97"/>
      <c r="F92" s="97"/>
      <c r="G92" s="97"/>
      <c r="H92" s="97"/>
      <c r="I92" s="97"/>
      <c r="J92" s="97"/>
      <c r="K92" s="96"/>
    </row>
    <row r="93" spans="1:11" s="29" customFormat="1" ht="13.8">
      <c r="A93" s="27"/>
      <c r="B93" s="24" t="s">
        <v>24</v>
      </c>
      <c r="C93" s="25" t="s">
        <v>12</v>
      </c>
      <c r="D93" s="28">
        <f>D89*1.02</f>
        <v>66.3</v>
      </c>
      <c r="E93" s="97"/>
      <c r="F93" s="97"/>
      <c r="G93" s="97"/>
      <c r="H93" s="97"/>
      <c r="I93" s="97"/>
      <c r="J93" s="97"/>
      <c r="K93" s="96"/>
    </row>
    <row r="94" spans="1:11" s="29" customFormat="1" ht="13.8">
      <c r="A94" s="27"/>
      <c r="B94" s="24" t="s">
        <v>143</v>
      </c>
      <c r="C94" s="23" t="s">
        <v>26</v>
      </c>
      <c r="D94" s="110">
        <f>8510*1.05/1000</f>
        <v>8.9354999999999993</v>
      </c>
      <c r="E94" s="97"/>
      <c r="F94" s="97"/>
      <c r="G94" s="97"/>
      <c r="H94" s="97"/>
      <c r="I94" s="97"/>
      <c r="J94" s="97"/>
      <c r="K94" s="96"/>
    </row>
    <row r="95" spans="1:11" s="29" customFormat="1" ht="13.8">
      <c r="A95" s="27"/>
      <c r="B95" s="24" t="s">
        <v>142</v>
      </c>
      <c r="C95" s="23" t="s">
        <v>26</v>
      </c>
      <c r="D95" s="110">
        <f>402*1.05/1000</f>
        <v>0.42210000000000003</v>
      </c>
      <c r="E95" s="97"/>
      <c r="F95" s="97"/>
      <c r="G95" s="97"/>
      <c r="H95" s="97"/>
      <c r="I95" s="97"/>
      <c r="J95" s="97"/>
      <c r="K95" s="96"/>
    </row>
    <row r="96" spans="1:11" s="29" customFormat="1" ht="13.8">
      <c r="A96" s="27"/>
      <c r="B96" s="24" t="s">
        <v>44</v>
      </c>
      <c r="C96" s="23" t="s">
        <v>31</v>
      </c>
      <c r="D96" s="28">
        <f>440*1.15</f>
        <v>505.99999999999994</v>
      </c>
      <c r="E96" s="97"/>
      <c r="F96" s="97"/>
      <c r="G96" s="97"/>
      <c r="H96" s="97"/>
      <c r="I96" s="97"/>
      <c r="J96" s="97"/>
      <c r="K96" s="96"/>
    </row>
    <row r="97" spans="1:11" s="29" customFormat="1" ht="13.8">
      <c r="A97" s="27"/>
      <c r="B97" s="24" t="s">
        <v>27</v>
      </c>
      <c r="C97" s="23" t="s">
        <v>28</v>
      </c>
      <c r="D97" s="28">
        <f>D89*2.5</f>
        <v>162.5</v>
      </c>
      <c r="E97" s="97"/>
      <c r="F97" s="97"/>
      <c r="G97" s="97"/>
      <c r="H97" s="97"/>
      <c r="I97" s="97"/>
      <c r="J97" s="97"/>
      <c r="K97" s="96"/>
    </row>
    <row r="98" spans="1:11" s="29" customFormat="1" ht="13.8">
      <c r="A98" s="27"/>
      <c r="B98" s="24" t="s">
        <v>29</v>
      </c>
      <c r="C98" s="25" t="s">
        <v>12</v>
      </c>
      <c r="D98" s="28">
        <f>D89</f>
        <v>65</v>
      </c>
      <c r="E98" s="97"/>
      <c r="F98" s="97"/>
      <c r="G98" s="97"/>
      <c r="H98" s="97"/>
      <c r="I98" s="97"/>
      <c r="J98" s="97"/>
      <c r="K98" s="96"/>
    </row>
    <row r="99" spans="1:11" s="29" customFormat="1" ht="13.8">
      <c r="A99" s="27"/>
      <c r="B99" s="24" t="s">
        <v>23</v>
      </c>
      <c r="C99" s="25" t="s">
        <v>21</v>
      </c>
      <c r="D99" s="28">
        <f>D89</f>
        <v>65</v>
      </c>
      <c r="E99" s="97"/>
      <c r="F99" s="97"/>
      <c r="G99" s="97"/>
      <c r="H99" s="97"/>
      <c r="I99" s="97"/>
      <c r="J99" s="97"/>
      <c r="K99" s="96"/>
    </row>
    <row r="100" spans="1:11" s="29" customFormat="1" ht="27.6">
      <c r="A100" s="21">
        <f>A89+1</f>
        <v>12</v>
      </c>
      <c r="B100" s="22" t="s">
        <v>165</v>
      </c>
      <c r="C100" s="21" t="s">
        <v>26</v>
      </c>
      <c r="D100" s="109">
        <f>(D104+D105+D106)/1.05</f>
        <v>0.86120000000000008</v>
      </c>
      <c r="E100" s="95"/>
      <c r="F100" s="95"/>
      <c r="G100" s="95"/>
      <c r="H100" s="95"/>
      <c r="I100" s="95"/>
      <c r="J100" s="95"/>
      <c r="K100" s="95"/>
    </row>
    <row r="101" spans="1:11" s="29" customFormat="1" ht="13.8">
      <c r="A101" s="27"/>
      <c r="B101" s="24" t="s">
        <v>16</v>
      </c>
      <c r="C101" s="25" t="s">
        <v>26</v>
      </c>
      <c r="D101" s="28">
        <f>D100</f>
        <v>0.86120000000000008</v>
      </c>
      <c r="E101" s="97"/>
      <c r="F101" s="97"/>
      <c r="G101" s="97"/>
      <c r="H101" s="97"/>
      <c r="I101" s="97"/>
      <c r="J101" s="97"/>
      <c r="K101" s="96"/>
    </row>
    <row r="102" spans="1:11" s="29" customFormat="1" ht="13.8">
      <c r="A102" s="27"/>
      <c r="B102" s="24" t="s">
        <v>20</v>
      </c>
      <c r="C102" s="23" t="s">
        <v>21</v>
      </c>
      <c r="D102" s="28">
        <f>D100*50.2</f>
        <v>43.232240000000004</v>
      </c>
      <c r="E102" s="97"/>
      <c r="F102" s="97"/>
      <c r="G102" s="97"/>
      <c r="H102" s="97"/>
      <c r="I102" s="97"/>
      <c r="J102" s="97"/>
      <c r="K102" s="96"/>
    </row>
    <row r="103" spans="1:11" s="29" customFormat="1" ht="13.8">
      <c r="A103" s="27"/>
      <c r="B103" s="24" t="s">
        <v>17</v>
      </c>
      <c r="C103" s="23"/>
      <c r="D103" s="28"/>
      <c r="E103" s="97"/>
      <c r="F103" s="97"/>
      <c r="G103" s="97"/>
      <c r="H103" s="97"/>
      <c r="I103" s="97"/>
      <c r="J103" s="97"/>
      <c r="K103" s="96"/>
    </row>
    <row r="104" spans="1:11" s="29" customFormat="1" ht="13.8">
      <c r="A104" s="27"/>
      <c r="B104" s="24" t="s">
        <v>148</v>
      </c>
      <c r="C104" s="23" t="s">
        <v>132</v>
      </c>
      <c r="D104" s="110">
        <f>(60.8+24)*1.05/1000</f>
        <v>8.9040000000000008E-2</v>
      </c>
      <c r="E104" s="97"/>
      <c r="F104" s="97"/>
      <c r="G104" s="97"/>
      <c r="H104" s="97"/>
      <c r="I104" s="97"/>
      <c r="J104" s="97"/>
      <c r="K104" s="96"/>
    </row>
    <row r="105" spans="1:11" s="29" customFormat="1" ht="13.8">
      <c r="A105" s="27"/>
      <c r="B105" s="24" t="s">
        <v>166</v>
      </c>
      <c r="C105" s="23" t="s">
        <v>132</v>
      </c>
      <c r="D105" s="110">
        <f>(352+32.4)*1.05/1000</f>
        <v>0.40361999999999998</v>
      </c>
      <c r="E105" s="97"/>
      <c r="F105" s="97"/>
      <c r="G105" s="97"/>
      <c r="H105" s="97"/>
      <c r="I105" s="97"/>
      <c r="J105" s="97"/>
      <c r="K105" s="96"/>
    </row>
    <row r="106" spans="1:11" s="29" customFormat="1" ht="13.8">
      <c r="A106" s="27"/>
      <c r="B106" s="24" t="s">
        <v>149</v>
      </c>
      <c r="C106" s="25" t="s">
        <v>132</v>
      </c>
      <c r="D106" s="110">
        <f>(32+32+320+8)*1.05/1000</f>
        <v>0.41160000000000002</v>
      </c>
      <c r="E106" s="97"/>
      <c r="F106" s="97"/>
      <c r="G106" s="97"/>
      <c r="H106" s="97"/>
      <c r="I106" s="97"/>
      <c r="J106" s="97"/>
      <c r="K106" s="96"/>
    </row>
    <row r="107" spans="1:11" s="29" customFormat="1" ht="13.8">
      <c r="A107" s="27"/>
      <c r="B107" s="24" t="s">
        <v>32</v>
      </c>
      <c r="C107" s="25" t="s">
        <v>28</v>
      </c>
      <c r="D107" s="28">
        <f>D100*25</f>
        <v>21.53</v>
      </c>
      <c r="E107" s="97"/>
      <c r="F107" s="97"/>
      <c r="G107" s="97"/>
      <c r="H107" s="97"/>
      <c r="I107" s="97"/>
      <c r="J107" s="97"/>
      <c r="K107" s="96"/>
    </row>
    <row r="108" spans="1:11" s="29" customFormat="1" ht="13.8">
      <c r="A108" s="33"/>
      <c r="B108" s="34" t="s">
        <v>23</v>
      </c>
      <c r="C108" s="35" t="s">
        <v>21</v>
      </c>
      <c r="D108" s="36">
        <f>D100*36.7</f>
        <v>31.606040000000004</v>
      </c>
      <c r="E108" s="98"/>
      <c r="F108" s="98"/>
      <c r="G108" s="98"/>
      <c r="H108" s="98"/>
      <c r="I108" s="98"/>
      <c r="J108" s="98"/>
      <c r="K108" s="99"/>
    </row>
    <row r="109" spans="1:11" s="29" customFormat="1" ht="27.6">
      <c r="A109" s="21">
        <f>A100+1</f>
        <v>13</v>
      </c>
      <c r="B109" s="22" t="s">
        <v>150</v>
      </c>
      <c r="C109" s="21" t="s">
        <v>26</v>
      </c>
      <c r="D109" s="109">
        <f>(D113+D114+D115+D116+D117+D118+D119)/1.05</f>
        <v>36.48266000000001</v>
      </c>
      <c r="E109" s="95"/>
      <c r="F109" s="95"/>
      <c r="G109" s="95"/>
      <c r="H109" s="95"/>
      <c r="I109" s="95"/>
      <c r="J109" s="95"/>
      <c r="K109" s="95"/>
    </row>
    <row r="110" spans="1:11" s="29" customFormat="1" ht="13.8">
      <c r="A110" s="27"/>
      <c r="B110" s="24" t="s">
        <v>16</v>
      </c>
      <c r="C110" s="25" t="s">
        <v>26</v>
      </c>
      <c r="D110" s="28">
        <f>D109</f>
        <v>36.48266000000001</v>
      </c>
      <c r="E110" s="97"/>
      <c r="F110" s="97"/>
      <c r="G110" s="97"/>
      <c r="H110" s="97"/>
      <c r="I110" s="97"/>
      <c r="J110" s="97"/>
      <c r="K110" s="96"/>
    </row>
    <row r="111" spans="1:11" s="29" customFormat="1" ht="13.8">
      <c r="A111" s="27"/>
      <c r="B111" s="24" t="s">
        <v>20</v>
      </c>
      <c r="C111" s="23" t="s">
        <v>21</v>
      </c>
      <c r="D111" s="28">
        <f>D109*50.2</f>
        <v>1831.4295320000006</v>
      </c>
      <c r="E111" s="97"/>
      <c r="F111" s="97"/>
      <c r="G111" s="97"/>
      <c r="H111" s="97"/>
      <c r="I111" s="97"/>
      <c r="J111" s="97"/>
      <c r="K111" s="96"/>
    </row>
    <row r="112" spans="1:11" s="29" customFormat="1" ht="13.8">
      <c r="A112" s="27"/>
      <c r="B112" s="24" t="s">
        <v>17</v>
      </c>
      <c r="C112" s="23"/>
      <c r="D112" s="28"/>
      <c r="E112" s="97"/>
      <c r="F112" s="97"/>
      <c r="G112" s="97"/>
      <c r="H112" s="97"/>
      <c r="I112" s="97"/>
      <c r="J112" s="97"/>
      <c r="K112" s="96"/>
    </row>
    <row r="113" spans="1:11" s="29" customFormat="1" ht="13.8">
      <c r="A113" s="27"/>
      <c r="B113" s="24" t="s">
        <v>151</v>
      </c>
      <c r="C113" s="23" t="s">
        <v>132</v>
      </c>
      <c r="D113" s="110">
        <f>12466.3*1.05/1000</f>
        <v>13.089615</v>
      </c>
      <c r="E113" s="97"/>
      <c r="F113" s="97"/>
      <c r="G113" s="97"/>
      <c r="H113" s="97"/>
      <c r="I113" s="97"/>
      <c r="J113" s="97"/>
      <c r="K113" s="96"/>
    </row>
    <row r="114" spans="1:11" s="29" customFormat="1" ht="13.8">
      <c r="A114" s="27"/>
      <c r="B114" s="24" t="s">
        <v>152</v>
      </c>
      <c r="C114" s="23" t="s">
        <v>132</v>
      </c>
      <c r="D114" s="110">
        <f>11737.6*1.05/1000</f>
        <v>12.324480000000001</v>
      </c>
      <c r="E114" s="97"/>
      <c r="F114" s="97"/>
      <c r="G114" s="97"/>
      <c r="H114" s="97"/>
      <c r="I114" s="97"/>
      <c r="J114" s="97"/>
      <c r="K114" s="96"/>
    </row>
    <row r="115" spans="1:11" s="29" customFormat="1" ht="13.8">
      <c r="A115" s="27"/>
      <c r="B115" s="24" t="s">
        <v>153</v>
      </c>
      <c r="C115" s="23" t="s">
        <v>132</v>
      </c>
      <c r="D115" s="110">
        <f>6541.28*1.05/1000</f>
        <v>6.8683440000000004</v>
      </c>
      <c r="E115" s="97"/>
      <c r="F115" s="97"/>
      <c r="G115" s="97"/>
      <c r="H115" s="97"/>
      <c r="I115" s="97"/>
      <c r="J115" s="97"/>
      <c r="K115" s="96"/>
    </row>
    <row r="116" spans="1:11" s="29" customFormat="1" ht="13.8">
      <c r="A116" s="27"/>
      <c r="B116" s="24" t="s">
        <v>154</v>
      </c>
      <c r="C116" s="23" t="s">
        <v>132</v>
      </c>
      <c r="D116" s="110">
        <f>703.2*1.05/1000</f>
        <v>0.73836000000000013</v>
      </c>
      <c r="E116" s="97"/>
      <c r="F116" s="97"/>
      <c r="G116" s="97"/>
      <c r="H116" s="97"/>
      <c r="I116" s="97"/>
      <c r="J116" s="97"/>
      <c r="K116" s="96"/>
    </row>
    <row r="117" spans="1:11" s="29" customFormat="1" ht="13.8">
      <c r="A117" s="27"/>
      <c r="B117" s="24" t="s">
        <v>155</v>
      </c>
      <c r="C117" s="23" t="s">
        <v>132</v>
      </c>
      <c r="D117" s="110">
        <f>181.5*1.05/1000</f>
        <v>0.19057500000000002</v>
      </c>
      <c r="E117" s="97"/>
      <c r="F117" s="97"/>
      <c r="G117" s="97"/>
      <c r="H117" s="97"/>
      <c r="I117" s="97"/>
      <c r="J117" s="97"/>
      <c r="K117" s="96"/>
    </row>
    <row r="118" spans="1:11" s="29" customFormat="1" ht="13.8">
      <c r="A118" s="27"/>
      <c r="B118" s="24" t="s">
        <v>156</v>
      </c>
      <c r="C118" s="23" t="s">
        <v>132</v>
      </c>
      <c r="D118" s="110">
        <f>4549.48*1.05/1000</f>
        <v>4.7769539999999999</v>
      </c>
      <c r="E118" s="97"/>
      <c r="F118" s="97"/>
      <c r="G118" s="97"/>
      <c r="H118" s="97"/>
      <c r="I118" s="97"/>
      <c r="J118" s="97"/>
      <c r="K118" s="96"/>
    </row>
    <row r="119" spans="1:11" s="29" customFormat="1" ht="13.8">
      <c r="A119" s="27"/>
      <c r="B119" s="24" t="s">
        <v>157</v>
      </c>
      <c r="C119" s="23" t="s">
        <v>132</v>
      </c>
      <c r="D119" s="110">
        <f>303.3*1.05/1000</f>
        <v>0.31846500000000005</v>
      </c>
      <c r="E119" s="97"/>
      <c r="F119" s="97"/>
      <c r="G119" s="97"/>
      <c r="H119" s="97"/>
      <c r="I119" s="97"/>
      <c r="J119" s="97"/>
      <c r="K119" s="96"/>
    </row>
    <row r="120" spans="1:11" s="29" customFormat="1" ht="13.8">
      <c r="A120" s="27"/>
      <c r="B120" s="24" t="s">
        <v>32</v>
      </c>
      <c r="C120" s="25" t="s">
        <v>28</v>
      </c>
      <c r="D120" s="28">
        <f>D109*10</f>
        <v>364.8266000000001</v>
      </c>
      <c r="E120" s="97"/>
      <c r="F120" s="97"/>
      <c r="G120" s="97"/>
      <c r="H120" s="97"/>
      <c r="I120" s="97"/>
      <c r="J120" s="97"/>
      <c r="K120" s="96"/>
    </row>
    <row r="121" spans="1:11" s="29" customFormat="1" ht="13.8">
      <c r="A121" s="33"/>
      <c r="B121" s="34" t="s">
        <v>23</v>
      </c>
      <c r="C121" s="35" t="s">
        <v>21</v>
      </c>
      <c r="D121" s="36">
        <f>D109*36.7</f>
        <v>1338.9136220000005</v>
      </c>
      <c r="E121" s="98"/>
      <c r="F121" s="98"/>
      <c r="G121" s="98"/>
      <c r="H121" s="98"/>
      <c r="I121" s="98"/>
      <c r="J121" s="98"/>
      <c r="K121" s="99"/>
    </row>
    <row r="122" spans="1:11" s="29" customFormat="1" ht="27.6">
      <c r="A122" s="21">
        <f>A109+1</f>
        <v>14</v>
      </c>
      <c r="B122" s="22" t="s">
        <v>158</v>
      </c>
      <c r="C122" s="21" t="s">
        <v>26</v>
      </c>
      <c r="D122" s="109">
        <f>(D126+D127+D128)/1.05</f>
        <v>11.752800000000001</v>
      </c>
      <c r="E122" s="95"/>
      <c r="F122" s="95"/>
      <c r="G122" s="95"/>
      <c r="H122" s="95"/>
      <c r="I122" s="95"/>
      <c r="J122" s="95"/>
      <c r="K122" s="95"/>
    </row>
    <row r="123" spans="1:11" s="29" customFormat="1" ht="13.8">
      <c r="A123" s="27"/>
      <c r="B123" s="24" t="s">
        <v>16</v>
      </c>
      <c r="C123" s="25" t="s">
        <v>26</v>
      </c>
      <c r="D123" s="28">
        <f>D122</f>
        <v>11.752800000000001</v>
      </c>
      <c r="E123" s="97"/>
      <c r="F123" s="97"/>
      <c r="G123" s="97"/>
      <c r="H123" s="97"/>
      <c r="I123" s="97"/>
      <c r="J123" s="97"/>
      <c r="K123" s="96"/>
    </row>
    <row r="124" spans="1:11" s="29" customFormat="1" ht="13.8">
      <c r="A124" s="27"/>
      <c r="B124" s="24" t="s">
        <v>20</v>
      </c>
      <c r="C124" s="23" t="s">
        <v>21</v>
      </c>
      <c r="D124" s="28">
        <f>D122*50.2</f>
        <v>589.99056000000007</v>
      </c>
      <c r="E124" s="97"/>
      <c r="F124" s="97"/>
      <c r="G124" s="97"/>
      <c r="H124" s="97"/>
      <c r="I124" s="97"/>
      <c r="J124" s="97"/>
      <c r="K124" s="96"/>
    </row>
    <row r="125" spans="1:11" s="29" customFormat="1" ht="13.8">
      <c r="A125" s="27"/>
      <c r="B125" s="24" t="s">
        <v>17</v>
      </c>
      <c r="C125" s="23"/>
      <c r="D125" s="28"/>
      <c r="E125" s="97"/>
      <c r="F125" s="97"/>
      <c r="G125" s="97"/>
      <c r="H125" s="97"/>
      <c r="I125" s="97"/>
      <c r="J125" s="97"/>
      <c r="K125" s="96"/>
    </row>
    <row r="126" spans="1:11" s="29" customFormat="1" ht="13.8">
      <c r="A126" s="27"/>
      <c r="B126" s="24" t="s">
        <v>152</v>
      </c>
      <c r="C126" s="23" t="s">
        <v>132</v>
      </c>
      <c r="D126" s="110">
        <f>7964.8*1.05/1000</f>
        <v>8.3630400000000016</v>
      </c>
      <c r="E126" s="97"/>
      <c r="F126" s="97"/>
      <c r="G126" s="97"/>
      <c r="H126" s="97"/>
      <c r="I126" s="97"/>
      <c r="J126" s="97"/>
      <c r="K126" s="96"/>
    </row>
    <row r="127" spans="1:11" s="29" customFormat="1" ht="13.8">
      <c r="A127" s="27"/>
      <c r="B127" s="24" t="s">
        <v>159</v>
      </c>
      <c r="C127" s="23" t="s">
        <v>132</v>
      </c>
      <c r="D127" s="110">
        <f>2696*1.05/1000</f>
        <v>2.8308</v>
      </c>
      <c r="E127" s="97"/>
      <c r="F127" s="97"/>
      <c r="G127" s="97"/>
      <c r="H127" s="97"/>
      <c r="I127" s="97"/>
      <c r="J127" s="97"/>
      <c r="K127" s="96"/>
    </row>
    <row r="128" spans="1:11" s="29" customFormat="1" ht="13.8">
      <c r="A128" s="27"/>
      <c r="B128" s="24" t="s">
        <v>160</v>
      </c>
      <c r="C128" s="23" t="s">
        <v>132</v>
      </c>
      <c r="D128" s="110">
        <f>1092*1.05/1000</f>
        <v>1.1466000000000001</v>
      </c>
      <c r="E128" s="97"/>
      <c r="F128" s="97"/>
      <c r="G128" s="97"/>
      <c r="H128" s="97"/>
      <c r="I128" s="97"/>
      <c r="J128" s="97"/>
      <c r="K128" s="96"/>
    </row>
    <row r="129" spans="1:11" s="29" customFormat="1" ht="13.8">
      <c r="A129" s="27"/>
      <c r="B129" s="24" t="s">
        <v>32</v>
      </c>
      <c r="C129" s="25" t="s">
        <v>28</v>
      </c>
      <c r="D129" s="28">
        <f>D122*10</f>
        <v>117.52800000000001</v>
      </c>
      <c r="E129" s="97"/>
      <c r="F129" s="97"/>
      <c r="G129" s="97"/>
      <c r="H129" s="97"/>
      <c r="I129" s="97"/>
      <c r="J129" s="97"/>
      <c r="K129" s="96"/>
    </row>
    <row r="130" spans="1:11" s="29" customFormat="1" ht="13.8">
      <c r="A130" s="33"/>
      <c r="B130" s="34" t="s">
        <v>23</v>
      </c>
      <c r="C130" s="35" t="s">
        <v>21</v>
      </c>
      <c r="D130" s="36">
        <f>D122*36.7</f>
        <v>431.32776000000007</v>
      </c>
      <c r="E130" s="98"/>
      <c r="F130" s="98"/>
      <c r="G130" s="98"/>
      <c r="H130" s="98"/>
      <c r="I130" s="98"/>
      <c r="J130" s="98"/>
      <c r="K130" s="99"/>
    </row>
    <row r="131" spans="1:11" s="29" customFormat="1" ht="27.6">
      <c r="A131" s="21">
        <f>A122+1</f>
        <v>15</v>
      </c>
      <c r="B131" s="22" t="s">
        <v>161</v>
      </c>
      <c r="C131" s="21" t="s">
        <v>26</v>
      </c>
      <c r="D131" s="109">
        <f>(D135+D136+D137+D138)/1.05</f>
        <v>1.3911999999999998</v>
      </c>
      <c r="E131" s="95"/>
      <c r="F131" s="95"/>
      <c r="G131" s="95"/>
      <c r="H131" s="95"/>
      <c r="I131" s="95"/>
      <c r="J131" s="95"/>
      <c r="K131" s="95"/>
    </row>
    <row r="132" spans="1:11" s="29" customFormat="1" ht="13.8">
      <c r="A132" s="27"/>
      <c r="B132" s="24" t="s">
        <v>16</v>
      </c>
      <c r="C132" s="25" t="s">
        <v>26</v>
      </c>
      <c r="D132" s="28">
        <f>D131</f>
        <v>1.3911999999999998</v>
      </c>
      <c r="E132" s="97"/>
      <c r="F132" s="97"/>
      <c r="G132" s="97"/>
      <c r="H132" s="97"/>
      <c r="I132" s="97"/>
      <c r="J132" s="97"/>
      <c r="K132" s="96"/>
    </row>
    <row r="133" spans="1:11" s="42" customFormat="1" ht="13.8">
      <c r="A133" s="27"/>
      <c r="B133" s="24" t="s">
        <v>20</v>
      </c>
      <c r="C133" s="23" t="s">
        <v>21</v>
      </c>
      <c r="D133" s="28">
        <f>D131*50.2</f>
        <v>69.838239999999999</v>
      </c>
      <c r="E133" s="97"/>
      <c r="F133" s="97"/>
      <c r="G133" s="97"/>
      <c r="H133" s="97"/>
      <c r="I133" s="97"/>
      <c r="J133" s="97"/>
      <c r="K133" s="96"/>
    </row>
    <row r="134" spans="1:11" s="20" customFormat="1" ht="13.8">
      <c r="A134" s="27"/>
      <c r="B134" s="24" t="s">
        <v>17</v>
      </c>
      <c r="C134" s="23"/>
      <c r="D134" s="28"/>
      <c r="E134" s="97"/>
      <c r="F134" s="97"/>
      <c r="G134" s="97"/>
      <c r="H134" s="97"/>
      <c r="I134" s="97"/>
      <c r="J134" s="97"/>
      <c r="K134" s="96"/>
    </row>
    <row r="135" spans="1:11" s="42" customFormat="1" ht="13.8">
      <c r="A135" s="27"/>
      <c r="B135" s="24" t="s">
        <v>162</v>
      </c>
      <c r="C135" s="23" t="s">
        <v>132</v>
      </c>
      <c r="D135" s="110">
        <f>1249.6*1.05/1000</f>
        <v>1.3120799999999999</v>
      </c>
      <c r="E135" s="97"/>
      <c r="F135" s="97"/>
      <c r="G135" s="97"/>
      <c r="H135" s="97"/>
      <c r="I135" s="97"/>
      <c r="J135" s="97"/>
      <c r="K135" s="96"/>
    </row>
    <row r="136" spans="1:11" s="29" customFormat="1" ht="13.8">
      <c r="A136" s="27"/>
      <c r="B136" s="24" t="s">
        <v>163</v>
      </c>
      <c r="C136" s="23" t="s">
        <v>132</v>
      </c>
      <c r="D136" s="110">
        <f>30.6*1.05/1000</f>
        <v>3.2130000000000006E-2</v>
      </c>
      <c r="E136" s="97"/>
      <c r="F136" s="97"/>
      <c r="G136" s="97"/>
      <c r="H136" s="97"/>
      <c r="I136" s="97"/>
      <c r="J136" s="97"/>
      <c r="K136" s="96"/>
    </row>
    <row r="137" spans="1:11" s="29" customFormat="1" ht="13.8">
      <c r="A137" s="27"/>
      <c r="B137" s="24" t="s">
        <v>33</v>
      </c>
      <c r="C137" s="23" t="s">
        <v>132</v>
      </c>
      <c r="D137" s="111">
        <f>1*1.05/1000</f>
        <v>1.0500000000000002E-3</v>
      </c>
      <c r="E137" s="97"/>
      <c r="F137" s="97"/>
      <c r="G137" s="97"/>
      <c r="H137" s="97"/>
      <c r="I137" s="97"/>
      <c r="J137" s="97"/>
      <c r="K137" s="96"/>
    </row>
    <row r="138" spans="1:11" s="29" customFormat="1" ht="13.8">
      <c r="A138" s="27"/>
      <c r="B138" s="24" t="s">
        <v>164</v>
      </c>
      <c r="C138" s="23" t="s">
        <v>132</v>
      </c>
      <c r="D138" s="110">
        <f>110*1.05/1000</f>
        <v>0.11550000000000001</v>
      </c>
      <c r="E138" s="97"/>
      <c r="F138" s="97"/>
      <c r="G138" s="97"/>
      <c r="H138" s="97"/>
      <c r="I138" s="97"/>
      <c r="J138" s="97"/>
      <c r="K138" s="96"/>
    </row>
    <row r="139" spans="1:11" s="29" customFormat="1" ht="13.8">
      <c r="A139" s="27"/>
      <c r="B139" s="24" t="s">
        <v>32</v>
      </c>
      <c r="C139" s="25" t="s">
        <v>28</v>
      </c>
      <c r="D139" s="28">
        <f>D131*10</f>
        <v>13.911999999999997</v>
      </c>
      <c r="E139" s="97"/>
      <c r="F139" s="97"/>
      <c r="G139" s="97"/>
      <c r="H139" s="97"/>
      <c r="I139" s="97"/>
      <c r="J139" s="97"/>
      <c r="K139" s="96"/>
    </row>
    <row r="140" spans="1:11" s="29" customFormat="1" ht="13.8">
      <c r="A140" s="33"/>
      <c r="B140" s="34" t="s">
        <v>23</v>
      </c>
      <c r="C140" s="35" t="s">
        <v>21</v>
      </c>
      <c r="D140" s="36">
        <f>D131*36.7</f>
        <v>51.057039999999994</v>
      </c>
      <c r="E140" s="98"/>
      <c r="F140" s="98"/>
      <c r="G140" s="98"/>
      <c r="H140" s="98"/>
      <c r="I140" s="98"/>
      <c r="J140" s="98"/>
      <c r="K140" s="99"/>
    </row>
    <row r="141" spans="1:11" s="29" customFormat="1" ht="27.6">
      <c r="A141" s="21">
        <f>A131+1</f>
        <v>16</v>
      </c>
      <c r="B141" s="22" t="s">
        <v>170</v>
      </c>
      <c r="C141" s="21" t="s">
        <v>12</v>
      </c>
      <c r="D141" s="109">
        <f>0.896+3.8</f>
        <v>4.6959999999999997</v>
      </c>
      <c r="E141" s="95"/>
      <c r="F141" s="95"/>
      <c r="G141" s="95"/>
      <c r="H141" s="95"/>
      <c r="I141" s="95"/>
      <c r="J141" s="95"/>
      <c r="K141" s="95"/>
    </row>
    <row r="142" spans="1:11" s="29" customFormat="1" ht="13.8">
      <c r="A142" s="27"/>
      <c r="B142" s="24" t="s">
        <v>16</v>
      </c>
      <c r="C142" s="25" t="s">
        <v>12</v>
      </c>
      <c r="D142" s="28">
        <f>D141</f>
        <v>4.6959999999999997</v>
      </c>
      <c r="E142" s="97"/>
      <c r="F142" s="97"/>
      <c r="G142" s="97"/>
      <c r="H142" s="97"/>
      <c r="I142" s="97"/>
      <c r="J142" s="97"/>
      <c r="K142" s="96"/>
    </row>
    <row r="143" spans="1:11" s="59" customFormat="1">
      <c r="A143" s="27"/>
      <c r="B143" s="24" t="s">
        <v>20</v>
      </c>
      <c r="C143" s="23" t="s">
        <v>21</v>
      </c>
      <c r="D143" s="28">
        <f>D141</f>
        <v>4.6959999999999997</v>
      </c>
      <c r="E143" s="97"/>
      <c r="F143" s="97"/>
      <c r="G143" s="97"/>
      <c r="H143" s="97"/>
      <c r="I143" s="97"/>
      <c r="J143" s="97"/>
      <c r="K143" s="96"/>
    </row>
    <row r="144" spans="1:11" s="59" customFormat="1">
      <c r="A144" s="27"/>
      <c r="B144" s="24" t="s">
        <v>17</v>
      </c>
      <c r="C144" s="23"/>
      <c r="D144" s="28"/>
      <c r="E144" s="97"/>
      <c r="F144" s="97"/>
      <c r="G144" s="97"/>
      <c r="H144" s="97"/>
      <c r="I144" s="97"/>
      <c r="J144" s="97"/>
      <c r="K144" s="96"/>
    </row>
    <row r="145" spans="1:11" s="59" customFormat="1">
      <c r="A145" s="27"/>
      <c r="B145" s="24" t="s">
        <v>24</v>
      </c>
      <c r="C145" s="25" t="s">
        <v>12</v>
      </c>
      <c r="D145" s="28">
        <f>D141*1.02</f>
        <v>4.7899199999999995</v>
      </c>
      <c r="E145" s="97"/>
      <c r="F145" s="97"/>
      <c r="G145" s="97"/>
      <c r="H145" s="97"/>
      <c r="I145" s="97"/>
      <c r="J145" s="97"/>
      <c r="K145" s="96"/>
    </row>
    <row r="146" spans="1:11">
      <c r="A146" s="27"/>
      <c r="B146" s="24" t="s">
        <v>144</v>
      </c>
      <c r="C146" s="23" t="s">
        <v>132</v>
      </c>
      <c r="D146" s="110">
        <f>(585*1.1*0.395)*1.05/1000</f>
        <v>0.26689162500000002</v>
      </c>
      <c r="E146" s="97"/>
      <c r="F146" s="97"/>
      <c r="G146" s="97"/>
      <c r="H146" s="97"/>
      <c r="I146" s="97"/>
      <c r="J146" s="97"/>
      <c r="K146" s="96"/>
    </row>
    <row r="147" spans="1:11">
      <c r="A147" s="27"/>
      <c r="B147" s="24" t="s">
        <v>137</v>
      </c>
      <c r="C147" s="23" t="s">
        <v>132</v>
      </c>
      <c r="D147" s="110">
        <f>(472*0.89)*1.05/1000</f>
        <v>0.44108399999999998</v>
      </c>
      <c r="E147" s="97"/>
      <c r="F147" s="97"/>
      <c r="G147" s="97"/>
      <c r="H147" s="97"/>
      <c r="I147" s="97"/>
      <c r="J147" s="97"/>
      <c r="K147" s="96"/>
    </row>
    <row r="148" spans="1:11">
      <c r="A148" s="27"/>
      <c r="B148" s="24" t="s">
        <v>27</v>
      </c>
      <c r="C148" s="23" t="s">
        <v>28</v>
      </c>
      <c r="D148" s="28">
        <f>(D147+D146)*9</f>
        <v>6.3717806249999995</v>
      </c>
      <c r="E148" s="97"/>
      <c r="F148" s="97"/>
      <c r="G148" s="97"/>
      <c r="H148" s="97"/>
      <c r="I148" s="97"/>
      <c r="J148" s="97"/>
      <c r="K148" s="96"/>
    </row>
    <row r="149" spans="1:11">
      <c r="A149" s="27"/>
      <c r="B149" s="24" t="s">
        <v>29</v>
      </c>
      <c r="C149" s="25" t="s">
        <v>12</v>
      </c>
      <c r="D149" s="28">
        <f>D141</f>
        <v>4.6959999999999997</v>
      </c>
      <c r="E149" s="97"/>
      <c r="F149" s="97"/>
      <c r="G149" s="97"/>
      <c r="H149" s="97"/>
      <c r="I149" s="97"/>
      <c r="J149" s="97"/>
      <c r="K149" s="96"/>
    </row>
    <row r="150" spans="1:11">
      <c r="A150" s="27"/>
      <c r="B150" s="24" t="s">
        <v>23</v>
      </c>
      <c r="C150" s="25" t="s">
        <v>21</v>
      </c>
      <c r="D150" s="28">
        <f>D141</f>
        <v>4.6959999999999997</v>
      </c>
      <c r="E150" s="97"/>
      <c r="F150" s="97"/>
      <c r="G150" s="97"/>
      <c r="H150" s="97"/>
      <c r="I150" s="97"/>
      <c r="J150" s="97"/>
      <c r="K150" s="96"/>
    </row>
    <row r="151" spans="1:11" ht="27.6">
      <c r="A151" s="21">
        <f>A141+1</f>
        <v>17</v>
      </c>
      <c r="B151" s="22" t="s">
        <v>211</v>
      </c>
      <c r="C151" s="21" t="s">
        <v>26</v>
      </c>
      <c r="D151" s="109">
        <f>(D155+D156)/1.05</f>
        <v>0.41159999999999997</v>
      </c>
      <c r="E151" s="95"/>
      <c r="F151" s="95"/>
      <c r="G151" s="95"/>
      <c r="H151" s="95"/>
      <c r="I151" s="95"/>
      <c r="J151" s="95"/>
      <c r="K151" s="95"/>
    </row>
    <row r="152" spans="1:11">
      <c r="A152" s="27"/>
      <c r="B152" s="24" t="s">
        <v>16</v>
      </c>
      <c r="C152" s="25" t="s">
        <v>26</v>
      </c>
      <c r="D152" s="28">
        <f>D151</f>
        <v>0.41159999999999997</v>
      </c>
      <c r="E152" s="97"/>
      <c r="F152" s="97"/>
      <c r="G152" s="97"/>
      <c r="H152" s="97"/>
      <c r="I152" s="97"/>
      <c r="J152" s="97"/>
      <c r="K152" s="96"/>
    </row>
    <row r="153" spans="1:11">
      <c r="A153" s="27"/>
      <c r="B153" s="24" t="s">
        <v>20</v>
      </c>
      <c r="C153" s="23" t="s">
        <v>21</v>
      </c>
      <c r="D153" s="28">
        <f>D151*50.2</f>
        <v>20.662320000000001</v>
      </c>
      <c r="E153" s="97"/>
      <c r="F153" s="97"/>
      <c r="G153" s="97"/>
      <c r="H153" s="97"/>
      <c r="I153" s="97"/>
      <c r="J153" s="97"/>
      <c r="K153" s="96"/>
    </row>
    <row r="154" spans="1:11">
      <c r="A154" s="27"/>
      <c r="B154" s="24" t="s">
        <v>17</v>
      </c>
      <c r="C154" s="23"/>
      <c r="D154" s="28"/>
      <c r="E154" s="97"/>
      <c r="F154" s="97"/>
      <c r="G154" s="97"/>
      <c r="H154" s="97"/>
      <c r="I154" s="97"/>
      <c r="J154" s="97"/>
      <c r="K154" s="96"/>
    </row>
    <row r="155" spans="1:11">
      <c r="A155" s="27"/>
      <c r="B155" s="24" t="s">
        <v>163</v>
      </c>
      <c r="C155" s="23" t="s">
        <v>132</v>
      </c>
      <c r="D155" s="110">
        <f>358.6*1.05/1000</f>
        <v>0.37653000000000003</v>
      </c>
      <c r="E155" s="97"/>
      <c r="F155" s="97"/>
      <c r="G155" s="97"/>
      <c r="H155" s="97"/>
      <c r="I155" s="97"/>
      <c r="J155" s="97"/>
      <c r="K155" s="96"/>
    </row>
    <row r="156" spans="1:11">
      <c r="A156" s="27"/>
      <c r="B156" s="24" t="s">
        <v>33</v>
      </c>
      <c r="C156" s="23" t="s">
        <v>132</v>
      </c>
      <c r="D156" s="111">
        <f>53*1.05/1000</f>
        <v>5.5650000000000005E-2</v>
      </c>
      <c r="E156" s="97"/>
      <c r="F156" s="97"/>
      <c r="G156" s="97"/>
      <c r="H156" s="97"/>
      <c r="I156" s="97"/>
      <c r="J156" s="97"/>
      <c r="K156" s="96"/>
    </row>
    <row r="157" spans="1:11">
      <c r="A157" s="27"/>
      <c r="B157" s="24" t="s">
        <v>32</v>
      </c>
      <c r="C157" s="25" t="s">
        <v>28</v>
      </c>
      <c r="D157" s="28">
        <f>D151*10</f>
        <v>4.1159999999999997</v>
      </c>
      <c r="E157" s="97"/>
      <c r="F157" s="97"/>
      <c r="G157" s="97"/>
      <c r="H157" s="97"/>
      <c r="I157" s="97"/>
      <c r="J157" s="97"/>
      <c r="K157" s="96"/>
    </row>
    <row r="158" spans="1:11">
      <c r="A158" s="33"/>
      <c r="B158" s="34" t="s">
        <v>23</v>
      </c>
      <c r="C158" s="35" t="s">
        <v>21</v>
      </c>
      <c r="D158" s="36">
        <f>D151*36.7</f>
        <v>15.10572</v>
      </c>
      <c r="E158" s="98"/>
      <c r="F158" s="98"/>
      <c r="G158" s="98"/>
      <c r="H158" s="98"/>
      <c r="I158" s="98"/>
      <c r="J158" s="98"/>
      <c r="K158" s="99"/>
    </row>
    <row r="159" spans="1:11" ht="18">
      <c r="A159" s="27"/>
      <c r="B159" s="113" t="s">
        <v>172</v>
      </c>
      <c r="C159" s="25"/>
      <c r="D159" s="28"/>
      <c r="E159" s="97"/>
      <c r="F159" s="97"/>
      <c r="G159" s="97"/>
      <c r="H159" s="97"/>
      <c r="I159" s="97"/>
      <c r="J159" s="97"/>
      <c r="K159" s="96"/>
    </row>
    <row r="160" spans="1:11">
      <c r="A160" s="21">
        <f>A151+1</f>
        <v>18</v>
      </c>
      <c r="B160" s="22" t="s">
        <v>11</v>
      </c>
      <c r="C160" s="21" t="s">
        <v>12</v>
      </c>
      <c r="D160" s="109">
        <f>196*3.1*2.6</f>
        <v>1579.7600000000002</v>
      </c>
      <c r="E160" s="95"/>
      <c r="F160" s="95"/>
      <c r="G160" s="95"/>
      <c r="H160" s="95"/>
      <c r="I160" s="95"/>
      <c r="J160" s="95"/>
      <c r="K160" s="96"/>
    </row>
    <row r="161" spans="1:11">
      <c r="A161" s="27"/>
      <c r="B161" s="24" t="s">
        <v>13</v>
      </c>
      <c r="C161" s="25" t="s">
        <v>12</v>
      </c>
      <c r="D161" s="114">
        <f>D160</f>
        <v>1579.7600000000002</v>
      </c>
      <c r="E161" s="97"/>
      <c r="F161" s="97"/>
      <c r="G161" s="97"/>
      <c r="H161" s="97"/>
      <c r="I161" s="97"/>
      <c r="J161" s="97"/>
      <c r="K161" s="96"/>
    </row>
    <row r="162" spans="1:11" ht="27.6">
      <c r="A162" s="27">
        <f>A160+1</f>
        <v>19</v>
      </c>
      <c r="B162" s="22" t="s">
        <v>15</v>
      </c>
      <c r="C162" s="21" t="s">
        <v>12</v>
      </c>
      <c r="D162" s="112">
        <f>D160*5%</f>
        <v>78.988000000000014</v>
      </c>
      <c r="E162" s="97"/>
      <c r="F162" s="97"/>
      <c r="G162" s="97"/>
      <c r="H162" s="97"/>
      <c r="I162" s="97"/>
      <c r="J162" s="97"/>
      <c r="K162" s="96"/>
    </row>
    <row r="163" spans="1:11">
      <c r="A163" s="27"/>
      <c r="B163" s="24" t="s">
        <v>16</v>
      </c>
      <c r="C163" s="25" t="s">
        <v>12</v>
      </c>
      <c r="D163" s="114">
        <f>D162</f>
        <v>78.988000000000014</v>
      </c>
      <c r="E163" s="97"/>
      <c r="F163" s="97"/>
      <c r="G163" s="97"/>
      <c r="H163" s="97"/>
      <c r="I163" s="97"/>
      <c r="J163" s="97"/>
      <c r="K163" s="96"/>
    </row>
    <row r="164" spans="1:11">
      <c r="A164" s="21">
        <f>A162+1</f>
        <v>20</v>
      </c>
      <c r="B164" s="22" t="s">
        <v>14</v>
      </c>
      <c r="C164" s="21" t="s">
        <v>12</v>
      </c>
      <c r="D164" s="109">
        <f>D160+D162</f>
        <v>1658.7480000000003</v>
      </c>
      <c r="E164" s="95"/>
      <c r="F164" s="95"/>
      <c r="G164" s="95"/>
      <c r="H164" s="95"/>
      <c r="I164" s="95"/>
      <c r="J164" s="95"/>
      <c r="K164" s="96"/>
    </row>
    <row r="165" spans="1:11" ht="27.6">
      <c r="A165" s="21">
        <f>A162+1</f>
        <v>20</v>
      </c>
      <c r="B165" s="22" t="s">
        <v>113</v>
      </c>
      <c r="C165" s="21" t="s">
        <v>12</v>
      </c>
      <c r="D165" s="109">
        <f>196*1.8*0.5</f>
        <v>176.4</v>
      </c>
      <c r="E165" s="95"/>
      <c r="F165" s="95"/>
      <c r="G165" s="95"/>
      <c r="H165" s="95"/>
      <c r="I165" s="95"/>
      <c r="J165" s="95"/>
      <c r="K165" s="96"/>
    </row>
    <row r="166" spans="1:11">
      <c r="A166" s="27"/>
      <c r="B166" s="24" t="s">
        <v>16</v>
      </c>
      <c r="C166" s="25" t="s">
        <v>12</v>
      </c>
      <c r="D166" s="114">
        <f>D165</f>
        <v>176.4</v>
      </c>
      <c r="E166" s="97"/>
      <c r="F166" s="97"/>
      <c r="G166" s="97"/>
      <c r="H166" s="97"/>
      <c r="I166" s="97"/>
      <c r="J166" s="97"/>
      <c r="K166" s="96"/>
    </row>
    <row r="167" spans="1:11">
      <c r="A167" s="27"/>
      <c r="B167" s="24" t="s">
        <v>8</v>
      </c>
      <c r="C167" s="25" t="s">
        <v>12</v>
      </c>
      <c r="D167" s="114">
        <f>D165</f>
        <v>176.4</v>
      </c>
      <c r="E167" s="97"/>
      <c r="F167" s="97"/>
      <c r="G167" s="97"/>
      <c r="H167" s="97"/>
      <c r="I167" s="97"/>
      <c r="J167" s="97"/>
      <c r="K167" s="96"/>
    </row>
    <row r="168" spans="1:11">
      <c r="A168" s="27"/>
      <c r="B168" s="24" t="s">
        <v>17</v>
      </c>
      <c r="C168" s="25"/>
      <c r="D168" s="114"/>
      <c r="E168" s="97"/>
      <c r="F168" s="97"/>
      <c r="G168" s="97"/>
      <c r="H168" s="97"/>
      <c r="I168" s="97"/>
      <c r="J168" s="97"/>
      <c r="K168" s="96"/>
    </row>
    <row r="169" spans="1:11">
      <c r="A169" s="27"/>
      <c r="B169" s="24" t="s">
        <v>42</v>
      </c>
      <c r="C169" s="25" t="s">
        <v>12</v>
      </c>
      <c r="D169" s="114">
        <f>D165*1.22</f>
        <v>215.208</v>
      </c>
      <c r="E169" s="97"/>
      <c r="F169" s="97"/>
      <c r="G169" s="97"/>
      <c r="H169" s="97"/>
      <c r="I169" s="97"/>
      <c r="J169" s="97"/>
      <c r="K169" s="96"/>
    </row>
    <row r="170" spans="1:11" ht="27.6">
      <c r="A170" s="21">
        <f>A165+1</f>
        <v>21</v>
      </c>
      <c r="B170" s="22" t="s">
        <v>43</v>
      </c>
      <c r="C170" s="21" t="s">
        <v>12</v>
      </c>
      <c r="D170" s="109">
        <f>196*1.8*0.15</f>
        <v>52.92</v>
      </c>
      <c r="E170" s="95"/>
      <c r="F170" s="95"/>
      <c r="G170" s="95"/>
      <c r="H170" s="95"/>
      <c r="I170" s="95"/>
      <c r="J170" s="95"/>
      <c r="K170" s="96"/>
    </row>
    <row r="171" spans="1:11">
      <c r="A171" s="27"/>
      <c r="B171" s="24" t="s">
        <v>16</v>
      </c>
      <c r="C171" s="25" t="s">
        <v>12</v>
      </c>
      <c r="D171" s="114">
        <f>D170</f>
        <v>52.92</v>
      </c>
      <c r="E171" s="97"/>
      <c r="F171" s="97"/>
      <c r="G171" s="97"/>
      <c r="H171" s="97"/>
      <c r="I171" s="97"/>
      <c r="J171" s="97"/>
      <c r="K171" s="96"/>
    </row>
    <row r="172" spans="1:11">
      <c r="A172" s="27"/>
      <c r="B172" s="24" t="s">
        <v>8</v>
      </c>
      <c r="C172" s="25" t="s">
        <v>12</v>
      </c>
      <c r="D172" s="114">
        <f>D170</f>
        <v>52.92</v>
      </c>
      <c r="E172" s="97"/>
      <c r="F172" s="97"/>
      <c r="G172" s="97"/>
      <c r="H172" s="97"/>
      <c r="I172" s="97"/>
      <c r="J172" s="97"/>
      <c r="K172" s="96"/>
    </row>
    <row r="173" spans="1:11">
      <c r="A173" s="27"/>
      <c r="B173" s="24" t="s">
        <v>17</v>
      </c>
      <c r="C173" s="25"/>
      <c r="D173" s="114"/>
      <c r="E173" s="97"/>
      <c r="F173" s="97"/>
      <c r="G173" s="97"/>
      <c r="H173" s="97"/>
      <c r="I173" s="97"/>
      <c r="J173" s="97"/>
      <c r="K173" s="96"/>
    </row>
    <row r="174" spans="1:11">
      <c r="A174" s="27"/>
      <c r="B174" s="24" t="s">
        <v>18</v>
      </c>
      <c r="C174" s="25" t="s">
        <v>12</v>
      </c>
      <c r="D174" s="114">
        <f>D170*1.22</f>
        <v>64.562399999999997</v>
      </c>
      <c r="E174" s="97"/>
      <c r="F174" s="97"/>
      <c r="G174" s="97"/>
      <c r="H174" s="97"/>
      <c r="I174" s="97"/>
      <c r="J174" s="97"/>
      <c r="K174" s="96"/>
    </row>
    <row r="175" spans="1:11">
      <c r="A175" s="21">
        <f>A170+1</f>
        <v>22</v>
      </c>
      <c r="B175" s="22" t="s">
        <v>19</v>
      </c>
      <c r="C175" s="21" t="s">
        <v>12</v>
      </c>
      <c r="D175" s="109">
        <f>196*1.8*0.1</f>
        <v>35.28</v>
      </c>
      <c r="E175" s="95"/>
      <c r="F175" s="95"/>
      <c r="G175" s="95"/>
      <c r="H175" s="95"/>
      <c r="I175" s="95"/>
      <c r="J175" s="95"/>
      <c r="K175" s="96"/>
    </row>
    <row r="176" spans="1:11">
      <c r="A176" s="27"/>
      <c r="B176" s="24" t="s">
        <v>16</v>
      </c>
      <c r="C176" s="25" t="s">
        <v>12</v>
      </c>
      <c r="D176" s="114">
        <f>D175</f>
        <v>35.28</v>
      </c>
      <c r="E176" s="97"/>
      <c r="F176" s="97"/>
      <c r="G176" s="97"/>
      <c r="H176" s="97"/>
      <c r="I176" s="97"/>
      <c r="J176" s="97"/>
      <c r="K176" s="96"/>
    </row>
    <row r="177" spans="1:11">
      <c r="A177" s="27"/>
      <c r="B177" s="24" t="s">
        <v>20</v>
      </c>
      <c r="C177" s="23" t="s">
        <v>21</v>
      </c>
      <c r="D177" s="28">
        <f>D175</f>
        <v>35.28</v>
      </c>
      <c r="E177" s="97"/>
      <c r="F177" s="97"/>
      <c r="G177" s="97"/>
      <c r="H177" s="97"/>
      <c r="I177" s="97"/>
      <c r="J177" s="97"/>
      <c r="K177" s="96"/>
    </row>
    <row r="178" spans="1:11">
      <c r="A178" s="27"/>
      <c r="B178" s="24" t="s">
        <v>17</v>
      </c>
      <c r="C178" s="23"/>
      <c r="D178" s="28"/>
      <c r="E178" s="97"/>
      <c r="F178" s="97"/>
      <c r="G178" s="97"/>
      <c r="H178" s="97"/>
      <c r="I178" s="97"/>
      <c r="J178" s="97"/>
      <c r="K178" s="96"/>
    </row>
    <row r="179" spans="1:11">
      <c r="A179" s="27"/>
      <c r="B179" s="24" t="s">
        <v>22</v>
      </c>
      <c r="C179" s="25" t="s">
        <v>12</v>
      </c>
      <c r="D179" s="28">
        <f>D175*1.02</f>
        <v>35.985600000000005</v>
      </c>
      <c r="E179" s="97"/>
      <c r="F179" s="97"/>
      <c r="G179" s="97"/>
      <c r="H179" s="97"/>
      <c r="I179" s="97"/>
      <c r="J179" s="97"/>
      <c r="K179" s="96"/>
    </row>
    <row r="180" spans="1:11">
      <c r="A180" s="27"/>
      <c r="B180" s="24" t="s">
        <v>23</v>
      </c>
      <c r="C180" s="23" t="s">
        <v>21</v>
      </c>
      <c r="D180" s="28">
        <f>D175</f>
        <v>35.28</v>
      </c>
      <c r="E180" s="97"/>
      <c r="F180" s="97"/>
      <c r="G180" s="97"/>
      <c r="H180" s="97"/>
      <c r="I180" s="97"/>
      <c r="J180" s="97"/>
      <c r="K180" s="96"/>
    </row>
    <row r="181" spans="1:11" ht="27.6">
      <c r="A181" s="21">
        <f>A175+1</f>
        <v>23</v>
      </c>
      <c r="B181" s="22" t="s">
        <v>173</v>
      </c>
      <c r="C181" s="21" t="s">
        <v>12</v>
      </c>
      <c r="D181" s="109">
        <v>55</v>
      </c>
      <c r="E181" s="95"/>
      <c r="F181" s="95"/>
      <c r="G181" s="95"/>
      <c r="H181" s="95"/>
      <c r="I181" s="95"/>
      <c r="J181" s="95"/>
      <c r="K181" s="95"/>
    </row>
    <row r="182" spans="1:11">
      <c r="A182" s="27"/>
      <c r="B182" s="24" t="s">
        <v>16</v>
      </c>
      <c r="C182" s="25" t="s">
        <v>12</v>
      </c>
      <c r="D182" s="28">
        <f>D181</f>
        <v>55</v>
      </c>
      <c r="E182" s="97"/>
      <c r="F182" s="97"/>
      <c r="G182" s="97"/>
      <c r="H182" s="97"/>
      <c r="I182" s="97"/>
      <c r="J182" s="97"/>
      <c r="K182" s="96"/>
    </row>
    <row r="183" spans="1:11">
      <c r="A183" s="27"/>
      <c r="B183" s="24" t="s">
        <v>20</v>
      </c>
      <c r="C183" s="23" t="s">
        <v>21</v>
      </c>
      <c r="D183" s="28">
        <f>D181</f>
        <v>55</v>
      </c>
      <c r="E183" s="97"/>
      <c r="F183" s="97"/>
      <c r="G183" s="97"/>
      <c r="H183" s="97"/>
      <c r="I183" s="97"/>
      <c r="J183" s="97"/>
      <c r="K183" s="96"/>
    </row>
    <row r="184" spans="1:11">
      <c r="A184" s="27"/>
      <c r="B184" s="24" t="s">
        <v>17</v>
      </c>
      <c r="C184" s="23"/>
      <c r="D184" s="28"/>
      <c r="E184" s="97"/>
      <c r="F184" s="97"/>
      <c r="G184" s="97"/>
      <c r="H184" s="97"/>
      <c r="I184" s="97"/>
      <c r="J184" s="97"/>
      <c r="K184" s="96"/>
    </row>
    <row r="185" spans="1:11">
      <c r="A185" s="27"/>
      <c r="B185" s="24" t="s">
        <v>24</v>
      </c>
      <c r="C185" s="25" t="s">
        <v>12</v>
      </c>
      <c r="D185" s="28">
        <f>D181*1.02</f>
        <v>56.1</v>
      </c>
      <c r="E185" s="97"/>
      <c r="F185" s="97"/>
      <c r="G185" s="97"/>
      <c r="H185" s="97"/>
      <c r="I185" s="97"/>
      <c r="J185" s="97"/>
      <c r="K185" s="96"/>
    </row>
    <row r="186" spans="1:11">
      <c r="A186" s="27"/>
      <c r="B186" s="24" t="s">
        <v>136</v>
      </c>
      <c r="C186" s="23" t="s">
        <v>132</v>
      </c>
      <c r="D186" s="110">
        <f>592*1.05/1000</f>
        <v>0.62160000000000004</v>
      </c>
      <c r="E186" s="97"/>
      <c r="F186" s="97"/>
      <c r="G186" s="97"/>
      <c r="H186" s="97"/>
      <c r="I186" s="97"/>
      <c r="J186" s="97"/>
      <c r="K186" s="96"/>
    </row>
    <row r="187" spans="1:11">
      <c r="A187" s="27"/>
      <c r="B187" s="24" t="s">
        <v>25</v>
      </c>
      <c r="C187" s="23" t="s">
        <v>132</v>
      </c>
      <c r="D187" s="110">
        <f>2311*1.05/1000</f>
        <v>2.4265500000000002</v>
      </c>
      <c r="E187" s="97"/>
      <c r="F187" s="97"/>
      <c r="G187" s="97"/>
      <c r="H187" s="97"/>
      <c r="I187" s="97"/>
      <c r="J187" s="97"/>
      <c r="K187" s="96"/>
    </row>
    <row r="188" spans="1:11">
      <c r="A188" s="27"/>
      <c r="B188" s="24" t="s">
        <v>174</v>
      </c>
      <c r="C188" s="23" t="s">
        <v>132</v>
      </c>
      <c r="D188" s="110">
        <f>9964*1.05/1000</f>
        <v>10.462200000000001</v>
      </c>
      <c r="E188" s="97"/>
      <c r="F188" s="97"/>
      <c r="G188" s="97"/>
      <c r="H188" s="97"/>
      <c r="I188" s="97"/>
      <c r="J188" s="97"/>
      <c r="K188" s="96"/>
    </row>
    <row r="189" spans="1:11">
      <c r="A189" s="27"/>
      <c r="B189" s="24" t="s">
        <v>27</v>
      </c>
      <c r="C189" s="23" t="s">
        <v>28</v>
      </c>
      <c r="D189" s="28">
        <f>(D188+D187+D186)*9</f>
        <v>121.59315000000002</v>
      </c>
      <c r="E189" s="97"/>
      <c r="F189" s="97"/>
      <c r="G189" s="97"/>
      <c r="H189" s="97"/>
      <c r="I189" s="97"/>
      <c r="J189" s="97"/>
      <c r="K189" s="96"/>
    </row>
    <row r="190" spans="1:11">
      <c r="A190" s="27"/>
      <c r="B190" s="24" t="s">
        <v>29</v>
      </c>
      <c r="C190" s="25" t="s">
        <v>12</v>
      </c>
      <c r="D190" s="28">
        <f>D181</f>
        <v>55</v>
      </c>
      <c r="E190" s="97"/>
      <c r="F190" s="97"/>
      <c r="G190" s="97"/>
      <c r="H190" s="97"/>
      <c r="I190" s="97"/>
      <c r="J190" s="97"/>
      <c r="K190" s="96"/>
    </row>
    <row r="191" spans="1:11">
      <c r="A191" s="27"/>
      <c r="B191" s="24" t="s">
        <v>23</v>
      </c>
      <c r="C191" s="25" t="s">
        <v>21</v>
      </c>
      <c r="D191" s="28">
        <f>D181</f>
        <v>55</v>
      </c>
      <c r="E191" s="97"/>
      <c r="F191" s="97"/>
      <c r="G191" s="97"/>
      <c r="H191" s="97"/>
      <c r="I191" s="97"/>
      <c r="J191" s="97"/>
      <c r="K191" s="96"/>
    </row>
    <row r="192" spans="1:11" ht="15.6">
      <c r="A192" s="16"/>
      <c r="B192" s="185" t="s">
        <v>243</v>
      </c>
      <c r="C192" s="16"/>
      <c r="D192" s="17"/>
      <c r="E192" s="18"/>
      <c r="F192" s="18"/>
      <c r="G192" s="18"/>
      <c r="H192" s="18"/>
      <c r="I192" s="18"/>
      <c r="J192" s="18"/>
      <c r="K192" s="19"/>
    </row>
    <row r="193" spans="1:11" ht="27.6">
      <c r="A193" s="186">
        <f>A181+1</f>
        <v>24</v>
      </c>
      <c r="B193" s="187" t="s">
        <v>228</v>
      </c>
      <c r="C193" s="186" t="s">
        <v>12</v>
      </c>
      <c r="D193" s="109">
        <f>5.5*5.5*3.5*2*1.2</f>
        <v>254.1</v>
      </c>
      <c r="E193" s="188"/>
      <c r="F193" s="188"/>
      <c r="G193" s="188"/>
      <c r="H193" s="188"/>
      <c r="I193" s="188"/>
      <c r="J193" s="188"/>
      <c r="K193" s="188"/>
    </row>
    <row r="194" spans="1:11">
      <c r="A194" s="44"/>
      <c r="B194" s="189" t="s">
        <v>13</v>
      </c>
      <c r="C194" s="190" t="s">
        <v>12</v>
      </c>
      <c r="D194" s="191">
        <f>D193</f>
        <v>254.1</v>
      </c>
      <c r="E194" s="188"/>
      <c r="F194" s="188"/>
      <c r="G194" s="188"/>
      <c r="H194" s="188"/>
      <c r="I194" s="188"/>
      <c r="J194" s="188"/>
      <c r="K194" s="188"/>
    </row>
    <row r="195" spans="1:11">
      <c r="A195" s="44">
        <f>A197+1</f>
        <v>26</v>
      </c>
      <c r="B195" s="187" t="s">
        <v>229</v>
      </c>
      <c r="C195" s="186" t="s">
        <v>12</v>
      </c>
      <c r="D195" s="109">
        <f>D193*5%</f>
        <v>12.705</v>
      </c>
      <c r="E195" s="188"/>
      <c r="F195" s="188"/>
      <c r="G195" s="188"/>
      <c r="H195" s="188"/>
      <c r="I195" s="188"/>
      <c r="J195" s="188"/>
      <c r="K195" s="188"/>
    </row>
    <row r="196" spans="1:11">
      <c r="A196" s="44"/>
      <c r="B196" s="189" t="s">
        <v>16</v>
      </c>
      <c r="C196" s="190" t="s">
        <v>12</v>
      </c>
      <c r="D196" s="191">
        <f>D195</f>
        <v>12.705</v>
      </c>
      <c r="E196" s="188"/>
      <c r="F196" s="188"/>
      <c r="G196" s="188"/>
      <c r="H196" s="188"/>
      <c r="I196" s="188"/>
      <c r="J196" s="188"/>
      <c r="K196" s="188"/>
    </row>
    <row r="197" spans="1:11">
      <c r="A197" s="30">
        <f>A193+1</f>
        <v>25</v>
      </c>
      <c r="B197" s="192" t="s">
        <v>14</v>
      </c>
      <c r="C197" s="57" t="s">
        <v>12</v>
      </c>
      <c r="D197" s="193">
        <f>D193+D195</f>
        <v>266.80500000000001</v>
      </c>
      <c r="E197" s="188"/>
      <c r="F197" s="188"/>
      <c r="G197" s="188"/>
      <c r="H197" s="188"/>
      <c r="I197" s="188"/>
      <c r="J197" s="188"/>
      <c r="K197" s="188"/>
    </row>
    <row r="198" spans="1:11" ht="27.6">
      <c r="A198" s="194">
        <f>A195+1</f>
        <v>27</v>
      </c>
      <c r="B198" s="195" t="s">
        <v>230</v>
      </c>
      <c r="C198" s="57" t="s">
        <v>12</v>
      </c>
      <c r="D198" s="109">
        <f>5.5*5.5*0.6*2</f>
        <v>36.299999999999997</v>
      </c>
      <c r="E198" s="188"/>
      <c r="F198" s="188"/>
      <c r="G198" s="188"/>
      <c r="H198" s="188"/>
      <c r="I198" s="188"/>
      <c r="J198" s="188"/>
      <c r="K198" s="188"/>
    </row>
    <row r="199" spans="1:11">
      <c r="A199" s="194"/>
      <c r="B199" s="196" t="s">
        <v>16</v>
      </c>
      <c r="C199" s="197" t="s">
        <v>12</v>
      </c>
      <c r="D199" s="191">
        <f>D198</f>
        <v>36.299999999999997</v>
      </c>
      <c r="E199" s="188"/>
      <c r="F199" s="188"/>
      <c r="G199" s="188"/>
      <c r="H199" s="188"/>
      <c r="I199" s="188"/>
      <c r="J199" s="188"/>
      <c r="K199" s="188"/>
    </row>
    <row r="200" spans="1:11">
      <c r="A200" s="194"/>
      <c r="B200" s="196" t="s">
        <v>8</v>
      </c>
      <c r="C200" s="197" t="s">
        <v>12</v>
      </c>
      <c r="D200" s="191">
        <f>D198</f>
        <v>36.299999999999997</v>
      </c>
      <c r="E200" s="188"/>
      <c r="F200" s="188"/>
      <c r="G200" s="188"/>
      <c r="H200" s="188"/>
      <c r="I200" s="188"/>
      <c r="J200" s="188"/>
      <c r="K200" s="188"/>
    </row>
    <row r="201" spans="1:11">
      <c r="A201" s="194"/>
      <c r="B201" s="196" t="s">
        <v>17</v>
      </c>
      <c r="C201" s="197"/>
      <c r="D201" s="191"/>
      <c r="E201" s="188"/>
      <c r="F201" s="188"/>
      <c r="G201" s="188"/>
      <c r="H201" s="188"/>
      <c r="I201" s="188"/>
      <c r="J201" s="188"/>
      <c r="K201" s="188"/>
    </row>
    <row r="202" spans="1:11">
      <c r="A202" s="194"/>
      <c r="B202" s="196" t="s">
        <v>42</v>
      </c>
      <c r="C202" s="197" t="s">
        <v>12</v>
      </c>
      <c r="D202" s="191">
        <f>D198*1.22</f>
        <v>44.285999999999994</v>
      </c>
      <c r="E202" s="188"/>
      <c r="F202" s="188"/>
      <c r="G202" s="188"/>
      <c r="H202" s="188"/>
      <c r="I202" s="188"/>
      <c r="J202" s="188"/>
      <c r="K202" s="188"/>
    </row>
    <row r="203" spans="1:11" ht="27.6">
      <c r="A203" s="194">
        <f>A198+1</f>
        <v>28</v>
      </c>
      <c r="B203" s="195" t="s">
        <v>43</v>
      </c>
      <c r="C203" s="57" t="s">
        <v>12</v>
      </c>
      <c r="D203" s="198">
        <f>5.5*5.5*2*0.1</f>
        <v>6.0500000000000007</v>
      </c>
      <c r="E203" s="188"/>
      <c r="F203" s="188"/>
      <c r="G203" s="188"/>
      <c r="H203" s="188"/>
      <c r="I203" s="188"/>
      <c r="J203" s="188"/>
      <c r="K203" s="188"/>
    </row>
    <row r="204" spans="1:11">
      <c r="A204" s="194"/>
      <c r="B204" s="196" t="s">
        <v>16</v>
      </c>
      <c r="C204" s="197" t="s">
        <v>12</v>
      </c>
      <c r="D204" s="191">
        <f>D203</f>
        <v>6.0500000000000007</v>
      </c>
      <c r="E204" s="188"/>
      <c r="F204" s="188"/>
      <c r="G204" s="188"/>
      <c r="H204" s="188"/>
      <c r="I204" s="188"/>
      <c r="J204" s="188"/>
      <c r="K204" s="188"/>
    </row>
    <row r="205" spans="1:11">
      <c r="A205" s="194"/>
      <c r="B205" s="196" t="s">
        <v>8</v>
      </c>
      <c r="C205" s="197" t="s">
        <v>12</v>
      </c>
      <c r="D205" s="191">
        <f>D203</f>
        <v>6.0500000000000007</v>
      </c>
      <c r="E205" s="188"/>
      <c r="F205" s="188"/>
      <c r="G205" s="188"/>
      <c r="H205" s="188"/>
      <c r="I205" s="188"/>
      <c r="J205" s="188"/>
      <c r="K205" s="188"/>
    </row>
    <row r="206" spans="1:11">
      <c r="A206" s="194"/>
      <c r="B206" s="196" t="s">
        <v>17</v>
      </c>
      <c r="C206" s="197"/>
      <c r="D206" s="191"/>
      <c r="E206" s="188"/>
      <c r="F206" s="188"/>
      <c r="G206" s="188"/>
      <c r="H206" s="188"/>
      <c r="I206" s="188"/>
      <c r="J206" s="188"/>
      <c r="K206" s="188"/>
    </row>
    <row r="207" spans="1:11">
      <c r="A207" s="194"/>
      <c r="B207" s="196" t="s">
        <v>18</v>
      </c>
      <c r="C207" s="197" t="s">
        <v>12</v>
      </c>
      <c r="D207" s="191">
        <f>D203*1.22</f>
        <v>7.3810000000000011</v>
      </c>
      <c r="E207" s="188"/>
      <c r="F207" s="188"/>
      <c r="G207" s="188"/>
      <c r="H207" s="188"/>
      <c r="I207" s="188"/>
      <c r="J207" s="188"/>
      <c r="K207" s="188"/>
    </row>
    <row r="208" spans="1:11">
      <c r="A208" s="186">
        <f>A203+1</f>
        <v>29</v>
      </c>
      <c r="B208" s="187" t="s">
        <v>19</v>
      </c>
      <c r="C208" s="186" t="s">
        <v>12</v>
      </c>
      <c r="D208" s="109">
        <f>4*4*0.1*2</f>
        <v>3.2</v>
      </c>
      <c r="E208" s="188"/>
      <c r="F208" s="188"/>
      <c r="G208" s="188"/>
      <c r="H208" s="188"/>
      <c r="I208" s="188"/>
      <c r="J208" s="188"/>
      <c r="K208" s="188"/>
    </row>
    <row r="209" spans="1:11">
      <c r="A209" s="44"/>
      <c r="B209" s="189" t="s">
        <v>16</v>
      </c>
      <c r="C209" s="190" t="s">
        <v>12</v>
      </c>
      <c r="D209" s="191">
        <f>D208</f>
        <v>3.2</v>
      </c>
      <c r="E209" s="188"/>
      <c r="F209" s="188"/>
      <c r="G209" s="188"/>
      <c r="H209" s="188"/>
      <c r="I209" s="188"/>
      <c r="J209" s="188"/>
      <c r="K209" s="188"/>
    </row>
    <row r="210" spans="1:11">
      <c r="A210" s="44"/>
      <c r="B210" s="189" t="s">
        <v>20</v>
      </c>
      <c r="C210" s="197" t="s">
        <v>21</v>
      </c>
      <c r="D210" s="191">
        <f>D208</f>
        <v>3.2</v>
      </c>
      <c r="E210" s="188"/>
      <c r="F210" s="188"/>
      <c r="G210" s="188"/>
      <c r="H210" s="188"/>
      <c r="I210" s="188"/>
      <c r="J210" s="188"/>
      <c r="K210" s="188"/>
    </row>
    <row r="211" spans="1:11">
      <c r="A211" s="44"/>
      <c r="B211" s="189" t="s">
        <v>17</v>
      </c>
      <c r="C211" s="197"/>
      <c r="D211" s="191"/>
      <c r="E211" s="188"/>
      <c r="F211" s="188"/>
      <c r="G211" s="188"/>
      <c r="H211" s="188"/>
      <c r="I211" s="188"/>
      <c r="J211" s="188"/>
      <c r="K211" s="188"/>
    </row>
    <row r="212" spans="1:11">
      <c r="A212" s="44"/>
      <c r="B212" s="189" t="s">
        <v>22</v>
      </c>
      <c r="C212" s="190" t="s">
        <v>12</v>
      </c>
      <c r="D212" s="191">
        <f>D208*1.02</f>
        <v>3.2640000000000002</v>
      </c>
      <c r="E212" s="188"/>
      <c r="F212" s="188"/>
      <c r="G212" s="188"/>
      <c r="H212" s="188"/>
      <c r="I212" s="188"/>
      <c r="J212" s="188"/>
      <c r="K212" s="188"/>
    </row>
    <row r="213" spans="1:11">
      <c r="A213" s="44"/>
      <c r="B213" s="189" t="s">
        <v>23</v>
      </c>
      <c r="C213" s="197" t="s">
        <v>21</v>
      </c>
      <c r="D213" s="191">
        <f>D208</f>
        <v>3.2</v>
      </c>
      <c r="E213" s="188"/>
      <c r="F213" s="188"/>
      <c r="G213" s="188"/>
      <c r="H213" s="188"/>
      <c r="I213" s="188"/>
      <c r="J213" s="188"/>
      <c r="K213" s="188"/>
    </row>
    <row r="214" spans="1:11" ht="27.6">
      <c r="A214" s="186">
        <f>A208+1</f>
        <v>30</v>
      </c>
      <c r="B214" s="187" t="s">
        <v>231</v>
      </c>
      <c r="C214" s="186" t="s">
        <v>12</v>
      </c>
      <c r="D214" s="109">
        <f>(4*4*2+3*3*1.1)*2</f>
        <v>83.8</v>
      </c>
      <c r="E214" s="188"/>
      <c r="F214" s="188"/>
      <c r="G214" s="188"/>
      <c r="H214" s="188"/>
      <c r="I214" s="188"/>
      <c r="J214" s="188"/>
      <c r="K214" s="188"/>
    </row>
    <row r="215" spans="1:11">
      <c r="A215" s="44"/>
      <c r="B215" s="189" t="s">
        <v>16</v>
      </c>
      <c r="C215" s="190" t="s">
        <v>12</v>
      </c>
      <c r="D215" s="191">
        <f>D214</f>
        <v>83.8</v>
      </c>
      <c r="E215" s="188"/>
      <c r="F215" s="188"/>
      <c r="G215" s="188"/>
      <c r="H215" s="188"/>
      <c r="I215" s="188"/>
      <c r="J215" s="188"/>
      <c r="K215" s="188"/>
    </row>
    <row r="216" spans="1:11">
      <c r="A216" s="44"/>
      <c r="B216" s="189" t="s">
        <v>20</v>
      </c>
      <c r="C216" s="197" t="s">
        <v>21</v>
      </c>
      <c r="D216" s="191">
        <f>D214</f>
        <v>83.8</v>
      </c>
      <c r="E216" s="188"/>
      <c r="F216" s="188"/>
      <c r="G216" s="188"/>
      <c r="H216" s="188"/>
      <c r="I216" s="188"/>
      <c r="J216" s="188"/>
      <c r="K216" s="188"/>
    </row>
    <row r="217" spans="1:11">
      <c r="A217" s="44"/>
      <c r="B217" s="189" t="s">
        <v>17</v>
      </c>
      <c r="C217" s="197"/>
      <c r="D217" s="191"/>
      <c r="E217" s="188"/>
      <c r="F217" s="188"/>
      <c r="G217" s="188"/>
      <c r="H217" s="188"/>
      <c r="I217" s="188"/>
      <c r="J217" s="188"/>
      <c r="K217" s="188"/>
    </row>
    <row r="218" spans="1:11">
      <c r="A218" s="44"/>
      <c r="B218" s="189" t="s">
        <v>24</v>
      </c>
      <c r="C218" s="190" t="s">
        <v>12</v>
      </c>
      <c r="D218" s="191">
        <f>D214*1.02</f>
        <v>85.475999999999999</v>
      </c>
      <c r="E218" s="188"/>
      <c r="F218" s="188"/>
      <c r="G218" s="188"/>
      <c r="H218" s="188"/>
      <c r="I218" s="188"/>
      <c r="J218" s="188"/>
      <c r="K218" s="188"/>
    </row>
    <row r="219" spans="1:11">
      <c r="A219" s="44"/>
      <c r="B219" s="189" t="s">
        <v>232</v>
      </c>
      <c r="C219" s="197" t="s">
        <v>26</v>
      </c>
      <c r="D219" s="110">
        <f>686*2*1.05/1000</f>
        <v>1.4406000000000001</v>
      </c>
      <c r="E219" s="188"/>
      <c r="F219" s="188"/>
      <c r="G219" s="188"/>
      <c r="H219" s="188"/>
      <c r="I219" s="188"/>
      <c r="J219" s="188"/>
      <c r="K219" s="188"/>
    </row>
    <row r="220" spans="1:11">
      <c r="A220" s="44"/>
      <c r="B220" s="189" t="s">
        <v>27</v>
      </c>
      <c r="C220" s="197" t="s">
        <v>28</v>
      </c>
      <c r="D220" s="191">
        <f>D219*9</f>
        <v>12.965400000000001</v>
      </c>
      <c r="E220" s="188"/>
      <c r="F220" s="188"/>
      <c r="G220" s="188"/>
      <c r="H220" s="188"/>
      <c r="I220" s="188"/>
      <c r="J220" s="188"/>
      <c r="K220" s="188"/>
    </row>
    <row r="221" spans="1:11">
      <c r="A221" s="44"/>
      <c r="B221" s="189" t="s">
        <v>29</v>
      </c>
      <c r="C221" s="190" t="s">
        <v>12</v>
      </c>
      <c r="D221" s="191">
        <f>D214</f>
        <v>83.8</v>
      </c>
      <c r="E221" s="188"/>
      <c r="F221" s="188"/>
      <c r="G221" s="188"/>
      <c r="H221" s="188"/>
      <c r="I221" s="188"/>
      <c r="J221" s="188"/>
      <c r="K221" s="188"/>
    </row>
    <row r="222" spans="1:11">
      <c r="A222" s="44"/>
      <c r="B222" s="189" t="s">
        <v>23</v>
      </c>
      <c r="C222" s="190" t="s">
        <v>21</v>
      </c>
      <c r="D222" s="191">
        <f>D214</f>
        <v>83.8</v>
      </c>
      <c r="E222" s="188"/>
      <c r="F222" s="188"/>
      <c r="G222" s="188"/>
      <c r="H222" s="188"/>
      <c r="I222" s="188"/>
      <c r="J222" s="188"/>
      <c r="K222" s="188"/>
    </row>
    <row r="223" spans="1:11" ht="27.6">
      <c r="A223" s="186">
        <f>A214+1</f>
        <v>31</v>
      </c>
      <c r="B223" s="187" t="s">
        <v>233</v>
      </c>
      <c r="C223" s="186" t="s">
        <v>26</v>
      </c>
      <c r="D223" s="198">
        <v>1.5</v>
      </c>
      <c r="E223" s="188"/>
      <c r="F223" s="188"/>
      <c r="G223" s="188"/>
      <c r="H223" s="188"/>
      <c r="I223" s="188"/>
      <c r="J223" s="188"/>
      <c r="K223" s="188"/>
    </row>
    <row r="224" spans="1:11">
      <c r="A224" s="44"/>
      <c r="B224" s="189" t="s">
        <v>16</v>
      </c>
      <c r="C224" s="190" t="s">
        <v>26</v>
      </c>
      <c r="D224" s="191">
        <f>D223</f>
        <v>1.5</v>
      </c>
      <c r="E224" s="188"/>
      <c r="F224" s="188"/>
      <c r="G224" s="188"/>
      <c r="H224" s="188"/>
      <c r="I224" s="188"/>
      <c r="J224" s="188"/>
      <c r="K224" s="188"/>
    </row>
    <row r="225" spans="1:11">
      <c r="A225" s="44"/>
      <c r="B225" s="189" t="s">
        <v>20</v>
      </c>
      <c r="C225" s="197" t="s">
        <v>21</v>
      </c>
      <c r="D225" s="191">
        <f>D223*50.2</f>
        <v>75.300000000000011</v>
      </c>
      <c r="E225" s="188"/>
      <c r="F225" s="188"/>
      <c r="G225" s="188"/>
      <c r="H225" s="188"/>
      <c r="I225" s="188"/>
      <c r="J225" s="188"/>
      <c r="K225" s="188"/>
    </row>
    <row r="226" spans="1:11">
      <c r="A226" s="44"/>
      <c r="B226" s="189" t="s">
        <v>17</v>
      </c>
      <c r="C226" s="197"/>
      <c r="D226" s="191"/>
      <c r="E226" s="188"/>
      <c r="F226" s="188"/>
      <c r="G226" s="188"/>
      <c r="H226" s="188"/>
      <c r="I226" s="188"/>
      <c r="J226" s="188"/>
      <c r="K226" s="188"/>
    </row>
    <row r="227" spans="1:11">
      <c r="A227" s="44"/>
      <c r="B227" s="189" t="s">
        <v>234</v>
      </c>
      <c r="C227" s="197" t="s">
        <v>132</v>
      </c>
      <c r="D227" s="191">
        <f>441.15*1.05*2/1000</f>
        <v>0.92641499999999999</v>
      </c>
      <c r="E227" s="188"/>
      <c r="F227" s="188"/>
      <c r="G227" s="188"/>
      <c r="H227" s="188"/>
      <c r="I227" s="188"/>
      <c r="J227" s="188"/>
      <c r="K227" s="188"/>
    </row>
    <row r="228" spans="1:11">
      <c r="A228" s="44"/>
      <c r="B228" s="189" t="s">
        <v>235</v>
      </c>
      <c r="C228" s="197" t="s">
        <v>132</v>
      </c>
      <c r="D228" s="191">
        <f>539.12*1.05*2/1000</f>
        <v>1.132152</v>
      </c>
      <c r="E228" s="188"/>
      <c r="F228" s="188"/>
      <c r="G228" s="188"/>
      <c r="H228" s="188"/>
      <c r="I228" s="188"/>
      <c r="J228" s="188"/>
      <c r="K228" s="188"/>
    </row>
    <row r="229" spans="1:11">
      <c r="A229" s="44"/>
      <c r="B229" s="189" t="s">
        <v>236</v>
      </c>
      <c r="C229" s="197" t="s">
        <v>132</v>
      </c>
      <c r="D229" s="191">
        <f>350.72*1.05*2/1000</f>
        <v>0.73651200000000006</v>
      </c>
      <c r="E229" s="188"/>
      <c r="F229" s="188"/>
      <c r="G229" s="188"/>
      <c r="H229" s="188"/>
      <c r="I229" s="188"/>
      <c r="J229" s="188"/>
      <c r="K229" s="188"/>
    </row>
    <row r="230" spans="1:11">
      <c r="A230" s="44"/>
      <c r="B230" s="189" t="s">
        <v>237</v>
      </c>
      <c r="C230" s="190" t="s">
        <v>132</v>
      </c>
      <c r="D230" s="191">
        <f>363.46*1.05*2/1000</f>
        <v>0.763266</v>
      </c>
      <c r="E230" s="188"/>
      <c r="F230" s="188"/>
      <c r="G230" s="188"/>
      <c r="H230" s="188"/>
      <c r="I230" s="188"/>
      <c r="J230" s="188"/>
      <c r="K230" s="188"/>
    </row>
    <row r="231" spans="1:11">
      <c r="A231" s="44"/>
      <c r="B231" s="189" t="s">
        <v>238</v>
      </c>
      <c r="C231" s="190" t="s">
        <v>34</v>
      </c>
      <c r="D231" s="191">
        <v>48</v>
      </c>
      <c r="E231" s="188"/>
      <c r="F231" s="188"/>
      <c r="G231" s="188"/>
      <c r="H231" s="188"/>
      <c r="I231" s="188"/>
      <c r="J231" s="188"/>
      <c r="K231" s="188"/>
    </row>
    <row r="232" spans="1:11">
      <c r="A232" s="44"/>
      <c r="B232" s="189" t="s">
        <v>239</v>
      </c>
      <c r="C232" s="190" t="s">
        <v>34</v>
      </c>
      <c r="D232" s="191">
        <v>48</v>
      </c>
      <c r="E232" s="188"/>
      <c r="F232" s="188"/>
      <c r="G232" s="188"/>
      <c r="H232" s="188"/>
      <c r="I232" s="188"/>
      <c r="J232" s="188"/>
      <c r="K232" s="188"/>
    </row>
    <row r="233" spans="1:11">
      <c r="A233" s="44"/>
      <c r="B233" s="189" t="s">
        <v>32</v>
      </c>
      <c r="C233" s="190" t="s">
        <v>28</v>
      </c>
      <c r="D233" s="191">
        <f>D223*25</f>
        <v>37.5</v>
      </c>
      <c r="E233" s="188"/>
      <c r="F233" s="188"/>
      <c r="G233" s="188"/>
      <c r="H233" s="188"/>
      <c r="I233" s="188"/>
      <c r="J233" s="188"/>
      <c r="K233" s="188"/>
    </row>
    <row r="234" spans="1:11">
      <c r="A234" s="44"/>
      <c r="B234" s="189" t="s">
        <v>23</v>
      </c>
      <c r="C234" s="190" t="s">
        <v>21</v>
      </c>
      <c r="D234" s="191">
        <f>D223*36.7</f>
        <v>55.050000000000004</v>
      </c>
      <c r="E234" s="188"/>
      <c r="F234" s="188"/>
      <c r="G234" s="188"/>
      <c r="H234" s="188"/>
      <c r="I234" s="188"/>
      <c r="J234" s="188"/>
      <c r="K234" s="188"/>
    </row>
    <row r="235" spans="1:11" ht="27.6">
      <c r="A235" s="186">
        <f>A223+1</f>
        <v>32</v>
      </c>
      <c r="B235" s="187" t="s">
        <v>240</v>
      </c>
      <c r="C235" s="186" t="s">
        <v>12</v>
      </c>
      <c r="D235" s="109">
        <f>D193+D195-D198-D208-D214</f>
        <v>143.505</v>
      </c>
      <c r="E235" s="188"/>
      <c r="F235" s="188"/>
      <c r="G235" s="188"/>
      <c r="H235" s="188"/>
      <c r="I235" s="188"/>
      <c r="J235" s="188"/>
      <c r="K235" s="188"/>
    </row>
    <row r="236" spans="1:11">
      <c r="A236" s="2"/>
      <c r="B236" s="199" t="s">
        <v>16</v>
      </c>
      <c r="C236" s="200" t="s">
        <v>12</v>
      </c>
      <c r="D236" s="201">
        <f>D235</f>
        <v>143.505</v>
      </c>
      <c r="E236" s="188"/>
      <c r="F236" s="188"/>
      <c r="G236" s="188"/>
      <c r="H236" s="188"/>
      <c r="I236" s="188"/>
      <c r="J236" s="188"/>
      <c r="K236" s="188"/>
    </row>
    <row r="237" spans="1:11">
      <c r="A237" s="2"/>
      <c r="B237" s="199" t="s">
        <v>17</v>
      </c>
      <c r="C237" s="200"/>
      <c r="D237" s="201"/>
      <c r="E237" s="188"/>
      <c r="F237" s="188"/>
      <c r="G237" s="188"/>
      <c r="H237" s="188"/>
      <c r="I237" s="188"/>
      <c r="J237" s="188"/>
      <c r="K237" s="188"/>
    </row>
    <row r="238" spans="1:11">
      <c r="A238" s="2"/>
      <c r="B238" s="199" t="s">
        <v>241</v>
      </c>
      <c r="C238" s="200" t="s">
        <v>12</v>
      </c>
      <c r="D238" s="201">
        <f>D235*1.26</f>
        <v>180.81629999999998</v>
      </c>
      <c r="E238" s="188"/>
      <c r="F238" s="188"/>
      <c r="G238" s="188"/>
      <c r="H238" s="188"/>
      <c r="I238" s="188"/>
      <c r="J238" s="188"/>
      <c r="K238" s="188"/>
    </row>
    <row r="239" spans="1:11">
      <c r="A239" s="44"/>
      <c r="B239" s="189" t="s">
        <v>242</v>
      </c>
      <c r="C239" s="190" t="str">
        <f>C235</f>
        <v>მ³</v>
      </c>
      <c r="D239" s="191">
        <f>D238</f>
        <v>180.81629999999998</v>
      </c>
      <c r="E239" s="188"/>
      <c r="F239" s="188"/>
      <c r="G239" s="188"/>
      <c r="H239" s="188"/>
      <c r="I239" s="188"/>
      <c r="J239" s="188"/>
      <c r="K239" s="188"/>
    </row>
    <row r="240" spans="1:11">
      <c r="A240" s="27">
        <f>A181+1</f>
        <v>24</v>
      </c>
      <c r="B240" s="41" t="s">
        <v>36</v>
      </c>
      <c r="C240" s="21" t="s">
        <v>12</v>
      </c>
      <c r="D240" s="117">
        <f>D218+D212+D185+D179+D145+D93+D81+D69+D38+D32</f>
        <v>546.84852000000001</v>
      </c>
      <c r="E240" s="102"/>
      <c r="F240" s="102"/>
      <c r="G240" s="102"/>
      <c r="H240" s="102"/>
      <c r="I240" s="102"/>
      <c r="J240" s="97"/>
      <c r="K240" s="103"/>
    </row>
    <row r="241" spans="1:11" ht="27.6">
      <c r="A241" s="27">
        <f>A240+1</f>
        <v>25</v>
      </c>
      <c r="B241" s="22" t="s">
        <v>225</v>
      </c>
      <c r="C241" s="21" t="s">
        <v>226</v>
      </c>
      <c r="D241" s="26">
        <v>15</v>
      </c>
      <c r="E241" s="102"/>
      <c r="F241" s="102"/>
      <c r="G241" s="102"/>
      <c r="H241" s="102"/>
      <c r="I241" s="102"/>
      <c r="J241" s="97"/>
      <c r="K241" s="103"/>
    </row>
    <row r="242" spans="1:11">
      <c r="A242" s="27">
        <f>A241+1</f>
        <v>26</v>
      </c>
      <c r="B242" s="41" t="s">
        <v>35</v>
      </c>
      <c r="C242" s="21" t="s">
        <v>227</v>
      </c>
      <c r="D242" s="117">
        <v>240</v>
      </c>
      <c r="E242" s="102"/>
      <c r="F242" s="102"/>
      <c r="G242" s="102"/>
      <c r="H242" s="102"/>
      <c r="I242" s="102"/>
      <c r="J242" s="97"/>
      <c r="K242" s="103"/>
    </row>
    <row r="243" spans="1:11">
      <c r="A243" s="56"/>
      <c r="B243" s="57" t="s">
        <v>37</v>
      </c>
      <c r="C243" s="58"/>
      <c r="D243" s="50"/>
      <c r="E243" s="107"/>
      <c r="F243" s="107">
        <f>SUM(F13:F242)</f>
        <v>0</v>
      </c>
      <c r="G243" s="107"/>
      <c r="H243" s="107">
        <f t="shared" ref="G243:K243" si="1">SUM(H13:H242)</f>
        <v>0</v>
      </c>
      <c r="I243" s="107"/>
      <c r="J243" s="107">
        <f t="shared" si="1"/>
        <v>0</v>
      </c>
      <c r="K243" s="107">
        <f t="shared" si="1"/>
        <v>0</v>
      </c>
    </row>
    <row r="244" spans="1:11">
      <c r="A244" s="56"/>
      <c r="B244" s="57" t="s">
        <v>121</v>
      </c>
      <c r="C244" s="64"/>
      <c r="D244" s="50"/>
      <c r="E244" s="107"/>
      <c r="F244" s="107"/>
      <c r="G244" s="107"/>
      <c r="H244" s="107"/>
      <c r="I244" s="107"/>
      <c r="J244" s="107"/>
      <c r="K244" s="107">
        <f>K243*C244</f>
        <v>0</v>
      </c>
    </row>
    <row r="245" spans="1:11">
      <c r="A245" s="56"/>
      <c r="B245" s="57" t="s">
        <v>37</v>
      </c>
      <c r="C245" s="58"/>
      <c r="D245" s="50"/>
      <c r="E245" s="107"/>
      <c r="F245" s="107"/>
      <c r="G245" s="107"/>
      <c r="H245" s="107"/>
      <c r="I245" s="107"/>
      <c r="J245" s="107"/>
      <c r="K245" s="107">
        <f>SUM(K243:K244)</f>
        <v>0</v>
      </c>
    </row>
    <row r="246" spans="1:11">
      <c r="A246" s="56"/>
      <c r="B246" s="57" t="s">
        <v>38</v>
      </c>
      <c r="C246" s="60"/>
      <c r="D246" s="50"/>
      <c r="E246" s="107"/>
      <c r="F246" s="107"/>
      <c r="G246" s="107"/>
      <c r="H246" s="107"/>
      <c r="I246" s="107"/>
      <c r="J246" s="107"/>
      <c r="K246" s="107">
        <f>K245*C246</f>
        <v>0</v>
      </c>
    </row>
    <row r="247" spans="1:11">
      <c r="A247" s="56"/>
      <c r="B247" s="44" t="s">
        <v>37</v>
      </c>
      <c r="C247" s="61"/>
      <c r="D247" s="50"/>
      <c r="E247" s="107"/>
      <c r="F247" s="107"/>
      <c r="G247" s="107"/>
      <c r="H247" s="107"/>
      <c r="I247" s="107"/>
      <c r="J247" s="107"/>
      <c r="K247" s="107">
        <f>SUM(K245:K246)</f>
        <v>0</v>
      </c>
    </row>
    <row r="248" spans="1:11">
      <c r="A248" s="56"/>
      <c r="B248" s="44" t="s">
        <v>39</v>
      </c>
      <c r="C248" s="62"/>
      <c r="D248" s="50"/>
      <c r="E248" s="107"/>
      <c r="F248" s="107"/>
      <c r="G248" s="107"/>
      <c r="H248" s="107"/>
      <c r="I248" s="107"/>
      <c r="J248" s="107"/>
      <c r="K248" s="107">
        <f>K247*C248</f>
        <v>0</v>
      </c>
    </row>
    <row r="249" spans="1:11">
      <c r="A249" s="56"/>
      <c r="B249" s="44" t="s">
        <v>37</v>
      </c>
      <c r="C249" s="61"/>
      <c r="D249" s="50"/>
      <c r="E249" s="107"/>
      <c r="F249" s="107"/>
      <c r="G249" s="107"/>
      <c r="H249" s="107"/>
      <c r="I249" s="107"/>
      <c r="J249" s="107"/>
      <c r="K249" s="107">
        <f>SUM(K247:K248)</f>
        <v>0</v>
      </c>
    </row>
    <row r="250" spans="1:11">
      <c r="A250" s="56"/>
      <c r="B250" s="44" t="s">
        <v>40</v>
      </c>
      <c r="C250" s="63"/>
      <c r="D250" s="50"/>
      <c r="E250" s="107"/>
      <c r="F250" s="107"/>
      <c r="G250" s="107"/>
      <c r="H250" s="107"/>
      <c r="I250" s="107"/>
      <c r="J250" s="107"/>
      <c r="K250" s="107">
        <f>K249*C250</f>
        <v>0</v>
      </c>
    </row>
    <row r="251" spans="1:11">
      <c r="A251" s="56"/>
      <c r="B251" s="44" t="s">
        <v>37</v>
      </c>
      <c r="C251" s="61"/>
      <c r="D251" s="50"/>
      <c r="E251" s="107"/>
      <c r="F251" s="107"/>
      <c r="G251" s="107"/>
      <c r="H251" s="107"/>
      <c r="I251" s="107"/>
      <c r="J251" s="107"/>
      <c r="K251" s="107">
        <f>SUM(K249:K250)</f>
        <v>0</v>
      </c>
    </row>
    <row r="252" spans="1:11">
      <c r="A252" s="56"/>
      <c r="B252" s="44" t="s">
        <v>41</v>
      </c>
      <c r="C252" s="64"/>
      <c r="D252" s="50"/>
      <c r="E252" s="107"/>
      <c r="F252" s="107"/>
      <c r="G252" s="107"/>
      <c r="H252" s="107"/>
      <c r="I252" s="107"/>
      <c r="J252" s="107"/>
      <c r="K252" s="107">
        <f>K251*C252</f>
        <v>0</v>
      </c>
    </row>
    <row r="253" spans="1:11">
      <c r="A253" s="56"/>
      <c r="B253" s="44" t="s">
        <v>37</v>
      </c>
      <c r="C253" s="61"/>
      <c r="D253" s="50"/>
      <c r="E253" s="107"/>
      <c r="F253" s="107"/>
      <c r="G253" s="107"/>
      <c r="H253" s="107"/>
      <c r="I253" s="107"/>
      <c r="J253" s="107"/>
      <c r="K253" s="107">
        <f>SUM(K251:K252)</f>
        <v>0</v>
      </c>
    </row>
    <row r="255" spans="1:11">
      <c r="K255" s="94"/>
    </row>
    <row r="257" spans="8:11">
      <c r="H257" s="66"/>
    </row>
    <row r="258" spans="8:11">
      <c r="H258" s="66"/>
    </row>
    <row r="260" spans="8:11">
      <c r="K260" s="66"/>
    </row>
    <row r="261" spans="8:11">
      <c r="H261" s="66"/>
    </row>
  </sheetData>
  <mergeCells count="19">
    <mergeCell ref="G8:H9"/>
    <mergeCell ref="I8:J9"/>
    <mergeCell ref="K8:K11"/>
    <mergeCell ref="E10:E11"/>
    <mergeCell ref="F10:F11"/>
    <mergeCell ref="G10:G11"/>
    <mergeCell ref="H10:H11"/>
    <mergeCell ref="I10:I11"/>
    <mergeCell ref="J10:J11"/>
    <mergeCell ref="A1:K2"/>
    <mergeCell ref="A3:K3"/>
    <mergeCell ref="A4:K4"/>
    <mergeCell ref="G6:I6"/>
    <mergeCell ref="J6:K6"/>
    <mergeCell ref="A8:A11"/>
    <mergeCell ref="B8:B11"/>
    <mergeCell ref="C8:C11"/>
    <mergeCell ref="D8:D11"/>
    <mergeCell ref="E8:F9"/>
  </mergeCells>
  <phoneticPr fontId="37" type="noConversion"/>
  <pageMargins left="2.5000000000000001E-2" right="1.6666666666666666E-2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8CC91-75A0-4969-934E-1A1E8DD7C681}">
  <sheetPr>
    <tabColor rgb="FF92D050"/>
  </sheetPr>
  <dimension ref="A1:AC168"/>
  <sheetViews>
    <sheetView zoomScaleNormal="100" workbookViewId="0">
      <selection activeCell="A3" sqref="A3:K3"/>
    </sheetView>
  </sheetViews>
  <sheetFormatPr defaultColWidth="9.109375" defaultRowHeight="14.4"/>
  <cols>
    <col min="1" max="1" width="4.6640625" style="49" customWidth="1"/>
    <col min="2" max="2" width="38.109375" style="49" customWidth="1"/>
    <col min="3" max="3" width="6.6640625" style="49" customWidth="1"/>
    <col min="4" max="4" width="11" style="65" customWidth="1"/>
    <col min="5" max="5" width="10" style="49" customWidth="1"/>
    <col min="6" max="6" width="14.88671875" style="49" customWidth="1"/>
    <col min="7" max="7" width="10" style="49" customWidth="1"/>
    <col min="8" max="8" width="13.5546875" style="49" customWidth="1"/>
    <col min="9" max="9" width="9.109375" style="49" customWidth="1"/>
    <col min="10" max="10" width="11.44140625" style="49" customWidth="1"/>
    <col min="11" max="11" width="15.109375" style="49" customWidth="1"/>
    <col min="12" max="12" width="12.33203125" style="49" bestFit="1" customWidth="1"/>
    <col min="13" max="13" width="9.5546875" style="49" bestFit="1" customWidth="1"/>
    <col min="14" max="16384" width="9.109375" style="49"/>
  </cols>
  <sheetData>
    <row r="1" spans="1:11" s="9" customFormat="1">
      <c r="A1" s="138" t="str">
        <f>კონსტრუქცია!A1</f>
        <v>Wendy ვარკეთილი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9" customForma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9" customFormat="1" ht="15.75" customHeight="1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9" customFormat="1" ht="17.25" customHeight="1">
      <c r="A4" s="139" t="s">
        <v>168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s="9" customFormat="1">
      <c r="A5" s="68" t="s">
        <v>116</v>
      </c>
      <c r="B5" s="69" t="s">
        <v>117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s="13" customFormat="1" ht="13.8">
      <c r="A6" s="70" t="s">
        <v>118</v>
      </c>
      <c r="B6" s="71"/>
      <c r="C6" s="12"/>
      <c r="D6" s="12"/>
      <c r="E6" s="12"/>
      <c r="F6" s="12"/>
      <c r="G6" s="140" t="s">
        <v>1</v>
      </c>
      <c r="H6" s="140"/>
      <c r="I6" s="140"/>
      <c r="J6" s="140">
        <f>K160</f>
        <v>0</v>
      </c>
      <c r="K6" s="140"/>
    </row>
    <row r="7" spans="1:11" s="9" customFormat="1">
      <c r="A7" s="10"/>
      <c r="B7" s="11"/>
      <c r="C7" s="10"/>
      <c r="D7" s="10"/>
      <c r="E7" s="10"/>
      <c r="F7" s="10"/>
      <c r="G7" s="14"/>
      <c r="H7" s="14"/>
      <c r="I7" s="14"/>
      <c r="J7" s="14"/>
      <c r="K7" s="14"/>
    </row>
    <row r="8" spans="1:11" s="15" customFormat="1" ht="15.6">
      <c r="A8" s="129" t="s">
        <v>2</v>
      </c>
      <c r="B8" s="130" t="s">
        <v>3</v>
      </c>
      <c r="C8" s="133" t="s">
        <v>4</v>
      </c>
      <c r="D8" s="134" t="s">
        <v>5</v>
      </c>
      <c r="E8" s="137" t="s">
        <v>6</v>
      </c>
      <c r="F8" s="137"/>
      <c r="G8" s="137" t="s">
        <v>7</v>
      </c>
      <c r="H8" s="137"/>
      <c r="I8" s="141" t="s">
        <v>8</v>
      </c>
      <c r="J8" s="141"/>
      <c r="K8" s="137" t="s">
        <v>9</v>
      </c>
    </row>
    <row r="9" spans="1:11" s="15" customFormat="1" ht="15.6">
      <c r="A9" s="129"/>
      <c r="B9" s="131"/>
      <c r="C9" s="133"/>
      <c r="D9" s="135"/>
      <c r="E9" s="137"/>
      <c r="F9" s="137"/>
      <c r="G9" s="137"/>
      <c r="H9" s="137"/>
      <c r="I9" s="141"/>
      <c r="J9" s="141"/>
      <c r="K9" s="137"/>
    </row>
    <row r="10" spans="1:11" s="15" customFormat="1" ht="15.6">
      <c r="A10" s="129"/>
      <c r="B10" s="131"/>
      <c r="C10" s="133"/>
      <c r="D10" s="135"/>
      <c r="E10" s="134" t="s">
        <v>10</v>
      </c>
      <c r="F10" s="137" t="s">
        <v>5</v>
      </c>
      <c r="G10" s="134" t="s">
        <v>10</v>
      </c>
      <c r="H10" s="137" t="s">
        <v>5</v>
      </c>
      <c r="I10" s="134" t="s">
        <v>10</v>
      </c>
      <c r="J10" s="137" t="s">
        <v>5</v>
      </c>
      <c r="K10" s="137"/>
    </row>
    <row r="11" spans="1:11" s="15" customFormat="1" ht="15.6">
      <c r="A11" s="129"/>
      <c r="B11" s="132"/>
      <c r="C11" s="133"/>
      <c r="D11" s="136"/>
      <c r="E11" s="136"/>
      <c r="F11" s="137"/>
      <c r="G11" s="136"/>
      <c r="H11" s="137"/>
      <c r="I11" s="136"/>
      <c r="J11" s="137"/>
      <c r="K11" s="137"/>
    </row>
    <row r="12" spans="1:11" s="42" customFormat="1" ht="13.8">
      <c r="A12" s="16"/>
      <c r="B12" s="16" t="s">
        <v>50</v>
      </c>
      <c r="C12" s="16"/>
      <c r="D12" s="17"/>
      <c r="E12" s="104"/>
      <c r="F12" s="104"/>
      <c r="G12" s="104"/>
      <c r="H12" s="104"/>
      <c r="I12" s="104"/>
      <c r="J12" s="104"/>
      <c r="K12" s="104"/>
    </row>
    <row r="13" spans="1:11" s="29" customFormat="1" ht="27.6">
      <c r="A13" s="27">
        <v>1</v>
      </c>
      <c r="B13" s="43" t="s">
        <v>54</v>
      </c>
      <c r="C13" s="44" t="s">
        <v>12</v>
      </c>
      <c r="D13" s="112">
        <v>98.74</v>
      </c>
      <c r="E13" s="105"/>
      <c r="F13" s="102"/>
      <c r="G13" s="105"/>
      <c r="H13" s="102"/>
      <c r="I13" s="105"/>
      <c r="J13" s="102"/>
      <c r="K13" s="106"/>
    </row>
    <row r="14" spans="1:11" s="29" customFormat="1" ht="13.8">
      <c r="A14" s="45"/>
      <c r="B14" s="46" t="s">
        <v>16</v>
      </c>
      <c r="C14" s="47" t="s">
        <v>12</v>
      </c>
      <c r="D14" s="48">
        <f>D13</f>
        <v>98.74</v>
      </c>
      <c r="E14" s="106"/>
      <c r="F14" s="97"/>
      <c r="G14" s="106"/>
      <c r="H14" s="97"/>
      <c r="I14" s="106"/>
      <c r="J14" s="97"/>
      <c r="K14" s="106"/>
    </row>
    <row r="15" spans="1:11" s="29" customFormat="1" ht="13.8">
      <c r="A15" s="45"/>
      <c r="B15" s="46" t="s">
        <v>20</v>
      </c>
      <c r="C15" s="47" t="s">
        <v>21</v>
      </c>
      <c r="D15" s="48">
        <f>D13*0.92</f>
        <v>90.840800000000002</v>
      </c>
      <c r="E15" s="106"/>
      <c r="F15" s="97"/>
      <c r="G15" s="106"/>
      <c r="H15" s="97"/>
      <c r="I15" s="106"/>
      <c r="J15" s="97"/>
      <c r="K15" s="106"/>
    </row>
    <row r="16" spans="1:11" s="29" customFormat="1" ht="13.8">
      <c r="A16" s="45"/>
      <c r="B16" s="46" t="s">
        <v>17</v>
      </c>
      <c r="C16" s="47"/>
      <c r="D16" s="48"/>
      <c r="E16" s="106"/>
      <c r="F16" s="97"/>
      <c r="G16" s="106"/>
      <c r="H16" s="97"/>
      <c r="I16" s="106"/>
      <c r="J16" s="97"/>
      <c r="K16" s="106"/>
    </row>
    <row r="17" spans="1:11" s="29" customFormat="1" ht="13.8">
      <c r="A17" s="45"/>
      <c r="B17" s="46" t="s">
        <v>52</v>
      </c>
      <c r="C17" s="47" t="s">
        <v>34</v>
      </c>
      <c r="D17" s="48">
        <f>D13*65.346</f>
        <v>6452.26404</v>
      </c>
      <c r="E17" s="106"/>
      <c r="F17" s="97"/>
      <c r="G17" s="106"/>
      <c r="H17" s="97"/>
      <c r="I17" s="106"/>
      <c r="J17" s="97"/>
      <c r="K17" s="106"/>
    </row>
    <row r="18" spans="1:11" s="29" customFormat="1" ht="13.8">
      <c r="A18" s="45"/>
      <c r="B18" s="46" t="s">
        <v>53</v>
      </c>
      <c r="C18" s="47" t="s">
        <v>12</v>
      </c>
      <c r="D18" s="48">
        <f>D13*0.12</f>
        <v>11.848799999999999</v>
      </c>
      <c r="E18" s="106"/>
      <c r="F18" s="97"/>
      <c r="G18" s="106"/>
      <c r="H18" s="97"/>
      <c r="I18" s="106"/>
      <c r="J18" s="97"/>
      <c r="K18" s="106"/>
    </row>
    <row r="19" spans="1:11" s="20" customFormat="1" ht="13.8">
      <c r="A19" s="45"/>
      <c r="B19" s="46" t="s">
        <v>23</v>
      </c>
      <c r="C19" s="47" t="s">
        <v>21</v>
      </c>
      <c r="D19" s="48">
        <f>D13*0.16</f>
        <v>15.798399999999999</v>
      </c>
      <c r="E19" s="106"/>
      <c r="F19" s="97"/>
      <c r="G19" s="106"/>
      <c r="H19" s="97"/>
      <c r="I19" s="106"/>
      <c r="J19" s="97"/>
      <c r="K19" s="106"/>
    </row>
    <row r="20" spans="1:11" s="20" customFormat="1" ht="27.6">
      <c r="A20" s="27">
        <f>A13+1</f>
        <v>2</v>
      </c>
      <c r="B20" s="43" t="s">
        <v>71</v>
      </c>
      <c r="C20" s="44" t="s">
        <v>12</v>
      </c>
      <c r="D20" s="112">
        <f>105*0.2*0.7</f>
        <v>14.7</v>
      </c>
      <c r="E20" s="105"/>
      <c r="F20" s="102"/>
      <c r="G20" s="105"/>
      <c r="H20" s="102"/>
      <c r="I20" s="105"/>
      <c r="J20" s="102"/>
      <c r="K20" s="106"/>
    </row>
    <row r="21" spans="1:11" s="20" customFormat="1" ht="13.8">
      <c r="A21" s="45"/>
      <c r="B21" s="46" t="s">
        <v>16</v>
      </c>
      <c r="C21" s="47" t="s">
        <v>12</v>
      </c>
      <c r="D21" s="48">
        <f>D20</f>
        <v>14.7</v>
      </c>
      <c r="E21" s="106"/>
      <c r="F21" s="97"/>
      <c r="G21" s="106"/>
      <c r="H21" s="97"/>
      <c r="I21" s="106"/>
      <c r="J21" s="97"/>
      <c r="K21" s="106"/>
    </row>
    <row r="22" spans="1:11" s="20" customFormat="1" ht="13.8">
      <c r="A22" s="45"/>
      <c r="B22" s="46" t="s">
        <v>20</v>
      </c>
      <c r="C22" s="47" t="s">
        <v>21</v>
      </c>
      <c r="D22" s="48">
        <f>D20*0.92</f>
        <v>13.523999999999999</v>
      </c>
      <c r="E22" s="106"/>
      <c r="F22" s="97"/>
      <c r="G22" s="106"/>
      <c r="H22" s="97"/>
      <c r="I22" s="106"/>
      <c r="J22" s="97"/>
      <c r="K22" s="106"/>
    </row>
    <row r="23" spans="1:11" s="20" customFormat="1" ht="13.8">
      <c r="A23" s="45"/>
      <c r="B23" s="46" t="s">
        <v>17</v>
      </c>
      <c r="C23" s="47"/>
      <c r="D23" s="48"/>
      <c r="E23" s="106"/>
      <c r="F23" s="97"/>
      <c r="G23" s="106"/>
      <c r="H23" s="97"/>
      <c r="I23" s="106"/>
      <c r="J23" s="97"/>
      <c r="K23" s="106"/>
    </row>
    <row r="24" spans="1:11" s="20" customFormat="1" ht="13.8">
      <c r="A24" s="45"/>
      <c r="B24" s="46" t="s">
        <v>52</v>
      </c>
      <c r="C24" s="47" t="s">
        <v>34</v>
      </c>
      <c r="D24" s="48">
        <f>D20*65.346</f>
        <v>960.58619999999996</v>
      </c>
      <c r="E24" s="106"/>
      <c r="F24" s="97"/>
      <c r="G24" s="106"/>
      <c r="H24" s="97"/>
      <c r="I24" s="106"/>
      <c r="J24" s="97"/>
      <c r="K24" s="106"/>
    </row>
    <row r="25" spans="1:11" s="20" customFormat="1" ht="13.8">
      <c r="A25" s="45"/>
      <c r="B25" s="46" t="s">
        <v>53</v>
      </c>
      <c r="C25" s="47" t="s">
        <v>12</v>
      </c>
      <c r="D25" s="48">
        <f>D20*0.12</f>
        <v>1.7639999999999998</v>
      </c>
      <c r="E25" s="106"/>
      <c r="F25" s="97"/>
      <c r="G25" s="106"/>
      <c r="H25" s="97"/>
      <c r="I25" s="106"/>
      <c r="J25" s="97"/>
      <c r="K25" s="106"/>
    </row>
    <row r="26" spans="1:11" s="20" customFormat="1" ht="13.8">
      <c r="A26" s="45"/>
      <c r="B26" s="46" t="s">
        <v>23</v>
      </c>
      <c r="C26" s="47" t="s">
        <v>21</v>
      </c>
      <c r="D26" s="48">
        <f>D20*0.16</f>
        <v>2.3519999999999999</v>
      </c>
      <c r="E26" s="106"/>
      <c r="F26" s="97"/>
      <c r="G26" s="106"/>
      <c r="H26" s="97"/>
      <c r="I26" s="106"/>
      <c r="J26" s="97"/>
      <c r="K26" s="106"/>
    </row>
    <row r="27" spans="1:11" s="54" customFormat="1" ht="27.6">
      <c r="A27" s="27">
        <f>A20+1</f>
        <v>3</v>
      </c>
      <c r="B27" s="43" t="s">
        <v>95</v>
      </c>
      <c r="C27" s="44" t="s">
        <v>31</v>
      </c>
      <c r="D27" s="112">
        <f>D20/0.2*2</f>
        <v>146.99999999999997</v>
      </c>
      <c r="E27" s="105"/>
      <c r="F27" s="102"/>
      <c r="G27" s="105"/>
      <c r="H27" s="102"/>
      <c r="I27" s="105"/>
      <c r="J27" s="102"/>
      <c r="K27" s="106"/>
    </row>
    <row r="28" spans="1:11" s="54" customFormat="1" ht="13.8">
      <c r="A28" s="45"/>
      <c r="B28" s="46" t="s">
        <v>16</v>
      </c>
      <c r="C28" s="47" t="s">
        <v>31</v>
      </c>
      <c r="D28" s="48">
        <f>D27</f>
        <v>146.99999999999997</v>
      </c>
      <c r="E28" s="106"/>
      <c r="F28" s="97"/>
      <c r="G28" s="106"/>
      <c r="H28" s="97"/>
      <c r="I28" s="106"/>
      <c r="J28" s="97"/>
      <c r="K28" s="106"/>
    </row>
    <row r="29" spans="1:11" s="54" customFormat="1" ht="13.8">
      <c r="A29" s="45"/>
      <c r="B29" s="46" t="s">
        <v>20</v>
      </c>
      <c r="C29" s="47" t="s">
        <v>21</v>
      </c>
      <c r="D29" s="48">
        <f>0.05325*D27</f>
        <v>7.8277499999999982</v>
      </c>
      <c r="E29" s="106"/>
      <c r="F29" s="97"/>
      <c r="G29" s="106"/>
      <c r="H29" s="97"/>
      <c r="I29" s="106"/>
      <c r="J29" s="97"/>
      <c r="K29" s="106"/>
    </row>
    <row r="30" spans="1:11" s="54" customFormat="1" ht="13.8">
      <c r="A30" s="45"/>
      <c r="B30" s="46" t="s">
        <v>17</v>
      </c>
      <c r="C30" s="47"/>
      <c r="D30" s="48"/>
      <c r="E30" s="106"/>
      <c r="F30" s="97"/>
      <c r="G30" s="106"/>
      <c r="H30" s="97"/>
      <c r="I30" s="106"/>
      <c r="J30" s="97"/>
      <c r="K30" s="106"/>
    </row>
    <row r="31" spans="1:11" s="54" customFormat="1" ht="13.8">
      <c r="A31" s="45"/>
      <c r="B31" s="46" t="s">
        <v>53</v>
      </c>
      <c r="C31" s="47" t="s">
        <v>12</v>
      </c>
      <c r="D31" s="48">
        <f>0.055*D27</f>
        <v>8.0849999999999991</v>
      </c>
      <c r="E31" s="106"/>
      <c r="F31" s="97"/>
      <c r="G31" s="106"/>
      <c r="H31" s="97"/>
      <c r="I31" s="106"/>
      <c r="J31" s="97"/>
      <c r="K31" s="106"/>
    </row>
    <row r="32" spans="1:11" s="54" customFormat="1" ht="13.8">
      <c r="A32" s="45"/>
      <c r="B32" s="46" t="s">
        <v>23</v>
      </c>
      <c r="C32" s="47" t="s">
        <v>21</v>
      </c>
      <c r="D32" s="48">
        <f>0.003*D27</f>
        <v>0.44099999999999995</v>
      </c>
      <c r="E32" s="106"/>
      <c r="F32" s="97"/>
      <c r="G32" s="106"/>
      <c r="H32" s="97"/>
      <c r="I32" s="106"/>
      <c r="J32" s="97"/>
      <c r="K32" s="106"/>
    </row>
    <row r="33" spans="1:11" s="29" customFormat="1" ht="27.6">
      <c r="A33" s="27">
        <f>A27+1</f>
        <v>4</v>
      </c>
      <c r="B33" s="43" t="s">
        <v>73</v>
      </c>
      <c r="C33" s="21" t="s">
        <v>31</v>
      </c>
      <c r="D33" s="112">
        <f>D36+D37+D38+D39</f>
        <v>547</v>
      </c>
      <c r="E33" s="102"/>
      <c r="F33" s="102"/>
      <c r="G33" s="102"/>
      <c r="H33" s="102"/>
      <c r="I33" s="102"/>
      <c r="J33" s="102"/>
      <c r="K33" s="106"/>
    </row>
    <row r="34" spans="1:11" s="29" customFormat="1" ht="13.8">
      <c r="A34" s="27"/>
      <c r="B34" s="55" t="s">
        <v>16</v>
      </c>
      <c r="C34" s="25" t="s">
        <v>31</v>
      </c>
      <c r="D34" s="28">
        <f>D33</f>
        <v>547</v>
      </c>
      <c r="E34" s="106"/>
      <c r="F34" s="97"/>
      <c r="G34" s="106"/>
      <c r="H34" s="97"/>
      <c r="I34" s="106"/>
      <c r="J34" s="97"/>
      <c r="K34" s="106"/>
    </row>
    <row r="35" spans="1:11" s="29" customFormat="1" ht="13.8">
      <c r="A35" s="27"/>
      <c r="B35" s="55" t="s">
        <v>17</v>
      </c>
      <c r="C35" s="23"/>
      <c r="D35" s="28"/>
      <c r="E35" s="106"/>
      <c r="F35" s="97"/>
      <c r="G35" s="106"/>
      <c r="H35" s="97"/>
      <c r="I35" s="106"/>
      <c r="J35" s="97"/>
      <c r="K35" s="106"/>
    </row>
    <row r="36" spans="1:11" s="29" customFormat="1" ht="27.6">
      <c r="A36" s="27"/>
      <c r="B36" s="55" t="s">
        <v>76</v>
      </c>
      <c r="C36" s="25" t="s">
        <v>31</v>
      </c>
      <c r="D36" s="110">
        <f>108+47+48</f>
        <v>203</v>
      </c>
      <c r="E36" s="106"/>
      <c r="F36" s="97"/>
      <c r="G36" s="106"/>
      <c r="H36" s="97"/>
      <c r="I36" s="106"/>
      <c r="J36" s="97"/>
      <c r="K36" s="106"/>
    </row>
    <row r="37" spans="1:11" s="29" customFormat="1" ht="27.6">
      <c r="A37" s="27"/>
      <c r="B37" s="55" t="s">
        <v>77</v>
      </c>
      <c r="C37" s="25" t="s">
        <v>31</v>
      </c>
      <c r="D37" s="110">
        <f>27+24+6+6+20</f>
        <v>83</v>
      </c>
      <c r="E37" s="106"/>
      <c r="F37" s="97"/>
      <c r="G37" s="106"/>
      <c r="H37" s="97"/>
      <c r="I37" s="106"/>
      <c r="J37" s="97"/>
      <c r="K37" s="106"/>
    </row>
    <row r="38" spans="1:11" s="29" customFormat="1" ht="27.6">
      <c r="A38" s="27"/>
      <c r="B38" s="55" t="s">
        <v>78</v>
      </c>
      <c r="C38" s="25" t="s">
        <v>31</v>
      </c>
      <c r="D38" s="110">
        <f>20+147+16+9+20</f>
        <v>212</v>
      </c>
      <c r="E38" s="106"/>
      <c r="F38" s="97"/>
      <c r="G38" s="106"/>
      <c r="H38" s="97"/>
      <c r="I38" s="106"/>
      <c r="J38" s="97"/>
      <c r="K38" s="106"/>
    </row>
    <row r="39" spans="1:11" s="29" customFormat="1" ht="27.6">
      <c r="A39" s="27"/>
      <c r="B39" s="55" t="s">
        <v>79</v>
      </c>
      <c r="C39" s="25" t="s">
        <v>31</v>
      </c>
      <c r="D39" s="110">
        <f>8+5+1+5+30</f>
        <v>49</v>
      </c>
      <c r="E39" s="106"/>
      <c r="F39" s="97"/>
      <c r="G39" s="106"/>
      <c r="H39" s="97"/>
      <c r="I39" s="106"/>
      <c r="J39" s="97"/>
      <c r="K39" s="106"/>
    </row>
    <row r="40" spans="1:11" s="29" customFormat="1" ht="27.6">
      <c r="A40" s="6"/>
      <c r="B40" s="55" t="s">
        <v>99</v>
      </c>
      <c r="C40" s="25" t="s">
        <v>100</v>
      </c>
      <c r="D40" s="28">
        <f>D33*3.06</f>
        <v>1673.82</v>
      </c>
      <c r="E40" s="106"/>
      <c r="F40" s="97"/>
      <c r="G40" s="106"/>
      <c r="H40" s="97"/>
      <c r="I40" s="106"/>
      <c r="J40" s="97"/>
      <c r="K40" s="106"/>
    </row>
    <row r="41" spans="1:11" s="29" customFormat="1" ht="13.8">
      <c r="A41" s="6"/>
      <c r="B41" s="55" t="s">
        <v>101</v>
      </c>
      <c r="C41" s="25" t="s">
        <v>34</v>
      </c>
      <c r="D41" s="28">
        <f>D33*2.06</f>
        <v>1126.82</v>
      </c>
      <c r="E41" s="106"/>
      <c r="F41" s="97"/>
      <c r="G41" s="106"/>
      <c r="H41" s="97"/>
      <c r="I41" s="106"/>
      <c r="J41" s="97"/>
      <c r="K41" s="106"/>
    </row>
    <row r="42" spans="1:11" s="29" customFormat="1" ht="13.8">
      <c r="A42" s="6"/>
      <c r="B42" s="55" t="s">
        <v>102</v>
      </c>
      <c r="C42" s="25" t="s">
        <v>34</v>
      </c>
      <c r="D42" s="28">
        <f>D33*2.06</f>
        <v>1126.82</v>
      </c>
      <c r="E42" s="106"/>
      <c r="F42" s="97"/>
      <c r="G42" s="106"/>
      <c r="H42" s="97"/>
      <c r="I42" s="106"/>
      <c r="J42" s="97"/>
      <c r="K42" s="106"/>
    </row>
    <row r="43" spans="1:11" s="29" customFormat="1" ht="13.8">
      <c r="A43" s="6"/>
      <c r="B43" s="55" t="s">
        <v>103</v>
      </c>
      <c r="C43" s="25" t="s">
        <v>34</v>
      </c>
      <c r="D43" s="28">
        <f>D33*4.06</f>
        <v>2220.8199999999997</v>
      </c>
      <c r="E43" s="106"/>
      <c r="F43" s="97"/>
      <c r="G43" s="106"/>
      <c r="H43" s="97"/>
      <c r="I43" s="106"/>
      <c r="J43" s="97"/>
      <c r="K43" s="106"/>
    </row>
    <row r="44" spans="1:11" s="29" customFormat="1" ht="13.8">
      <c r="A44" s="6"/>
      <c r="B44" s="55" t="s">
        <v>104</v>
      </c>
      <c r="C44" s="25" t="s">
        <v>100</v>
      </c>
      <c r="D44" s="28">
        <f>D33*0.6</f>
        <v>328.2</v>
      </c>
      <c r="E44" s="106"/>
      <c r="F44" s="97"/>
      <c r="G44" s="106"/>
      <c r="H44" s="97"/>
      <c r="I44" s="106"/>
      <c r="J44" s="97"/>
      <c r="K44" s="106"/>
    </row>
    <row r="45" spans="1:11" s="29" customFormat="1" ht="13.8">
      <c r="A45" s="6"/>
      <c r="B45" s="55" t="s">
        <v>105</v>
      </c>
      <c r="C45" s="25" t="s">
        <v>34</v>
      </c>
      <c r="D45" s="28">
        <f>D33*2.06</f>
        <v>1126.82</v>
      </c>
      <c r="E45" s="106"/>
      <c r="F45" s="97"/>
      <c r="G45" s="106"/>
      <c r="H45" s="97"/>
      <c r="I45" s="106"/>
      <c r="J45" s="97"/>
      <c r="K45" s="106"/>
    </row>
    <row r="46" spans="1:11" s="29" customFormat="1" ht="27.6">
      <c r="A46" s="27">
        <f>A33+1</f>
        <v>5</v>
      </c>
      <c r="B46" s="43" t="s">
        <v>74</v>
      </c>
      <c r="C46" s="21" t="s">
        <v>55</v>
      </c>
      <c r="D46" s="112">
        <f>D33</f>
        <v>547</v>
      </c>
      <c r="E46" s="102"/>
      <c r="F46" s="102"/>
      <c r="G46" s="102"/>
      <c r="H46" s="102"/>
      <c r="I46" s="102"/>
      <c r="J46" s="102"/>
      <c r="K46" s="106"/>
    </row>
    <row r="47" spans="1:11" s="20" customFormat="1" ht="13.8">
      <c r="A47" s="6"/>
      <c r="B47" s="55" t="s">
        <v>106</v>
      </c>
      <c r="C47" s="25" t="s">
        <v>34</v>
      </c>
      <c r="D47" s="28">
        <f>D33*7</f>
        <v>3829</v>
      </c>
      <c r="E47" s="106"/>
      <c r="F47" s="97"/>
      <c r="G47" s="106"/>
      <c r="H47" s="97"/>
      <c r="I47" s="106"/>
      <c r="J47" s="97"/>
      <c r="K47" s="106"/>
    </row>
    <row r="48" spans="1:11" s="20" customFormat="1" ht="13.8">
      <c r="A48" s="6"/>
      <c r="B48" s="55" t="s">
        <v>107</v>
      </c>
      <c r="C48" s="25" t="s">
        <v>100</v>
      </c>
      <c r="D48" s="28">
        <f>D33*0.168</f>
        <v>91.896000000000001</v>
      </c>
      <c r="E48" s="106"/>
      <c r="F48" s="97"/>
      <c r="G48" s="106"/>
      <c r="H48" s="97"/>
      <c r="I48" s="106"/>
      <c r="J48" s="97"/>
      <c r="K48" s="106"/>
    </row>
    <row r="49" spans="1:29" s="20" customFormat="1" ht="13.8">
      <c r="A49" s="6"/>
      <c r="B49" s="55" t="s">
        <v>108</v>
      </c>
      <c r="C49" s="25" t="s">
        <v>34</v>
      </c>
      <c r="D49" s="28">
        <f>D33*30</f>
        <v>16410</v>
      </c>
      <c r="E49" s="106"/>
      <c r="F49" s="97"/>
      <c r="G49" s="106"/>
      <c r="H49" s="97"/>
      <c r="I49" s="106"/>
      <c r="J49" s="97"/>
      <c r="K49" s="106"/>
      <c r="M49" s="92"/>
    </row>
    <row r="50" spans="1:29" s="20" customFormat="1" ht="13.8">
      <c r="A50" s="6"/>
      <c r="B50" s="55" t="s">
        <v>109</v>
      </c>
      <c r="C50" s="25" t="s">
        <v>34</v>
      </c>
      <c r="D50" s="28">
        <f>D33*8</f>
        <v>4376</v>
      </c>
      <c r="E50" s="106"/>
      <c r="F50" s="97"/>
      <c r="G50" s="106"/>
      <c r="H50" s="97"/>
      <c r="I50" s="106"/>
      <c r="J50" s="97"/>
      <c r="K50" s="106"/>
      <c r="M50" s="92"/>
    </row>
    <row r="51" spans="1:29" s="20" customFormat="1" ht="13.8">
      <c r="A51" s="6"/>
      <c r="B51" s="55" t="s">
        <v>110</v>
      </c>
      <c r="C51" s="25" t="s">
        <v>34</v>
      </c>
      <c r="D51" s="28">
        <f>D33*0.08</f>
        <v>43.76</v>
      </c>
      <c r="E51" s="106"/>
      <c r="F51" s="97"/>
      <c r="G51" s="106"/>
      <c r="H51" s="97"/>
      <c r="I51" s="106"/>
      <c r="J51" s="97"/>
      <c r="K51" s="106"/>
      <c r="M51" s="92"/>
    </row>
    <row r="52" spans="1:29" s="20" customFormat="1" ht="13.8">
      <c r="A52" s="6"/>
      <c r="B52" s="55" t="s">
        <v>111</v>
      </c>
      <c r="C52" s="25" t="s">
        <v>34</v>
      </c>
      <c r="D52" s="28">
        <f>D33*0.21</f>
        <v>114.86999999999999</v>
      </c>
      <c r="E52" s="106"/>
      <c r="F52" s="97"/>
      <c r="G52" s="106"/>
      <c r="H52" s="97"/>
      <c r="I52" s="106"/>
      <c r="J52" s="97"/>
      <c r="K52" s="106"/>
    </row>
    <row r="53" spans="1:29" s="51" customFormat="1" ht="13.8">
      <c r="A53" s="6"/>
      <c r="B53" s="55" t="s">
        <v>112</v>
      </c>
      <c r="C53" s="25" t="s">
        <v>34</v>
      </c>
      <c r="D53" s="28">
        <f>D33*0.06</f>
        <v>32.82</v>
      </c>
      <c r="E53" s="106"/>
      <c r="F53" s="97"/>
      <c r="G53" s="106"/>
      <c r="H53" s="97"/>
      <c r="I53" s="106"/>
      <c r="J53" s="97"/>
      <c r="K53" s="106"/>
    </row>
    <row r="54" spans="1:29" s="54" customFormat="1" ht="13.8">
      <c r="A54" s="6"/>
      <c r="B54" s="55" t="s">
        <v>75</v>
      </c>
      <c r="C54" s="25" t="s">
        <v>34</v>
      </c>
      <c r="D54" s="28">
        <f>D33*0.4</f>
        <v>218.8</v>
      </c>
      <c r="E54" s="106"/>
      <c r="F54" s="97"/>
      <c r="G54" s="106"/>
      <c r="H54" s="97"/>
      <c r="I54" s="106"/>
      <c r="J54" s="97"/>
      <c r="K54" s="106"/>
    </row>
    <row r="55" spans="1:29" s="54" customFormat="1" ht="27.6">
      <c r="A55" s="21">
        <f>A46+1</f>
        <v>6</v>
      </c>
      <c r="B55" s="22" t="s">
        <v>72</v>
      </c>
      <c r="C55" s="21" t="s">
        <v>31</v>
      </c>
      <c r="D55" s="109">
        <v>386</v>
      </c>
      <c r="E55" s="107"/>
      <c r="F55" s="95"/>
      <c r="G55" s="107"/>
      <c r="H55" s="107"/>
      <c r="I55" s="107"/>
      <c r="J55" s="107"/>
      <c r="K55" s="95"/>
    </row>
    <row r="56" spans="1:29" s="54" customFormat="1" ht="13.8">
      <c r="A56" s="21"/>
      <c r="B56" s="52" t="s">
        <v>57</v>
      </c>
      <c r="C56" s="25" t="str">
        <f>C55</f>
        <v>მ²</v>
      </c>
      <c r="D56" s="53">
        <f>D55</f>
        <v>386</v>
      </c>
      <c r="E56" s="95"/>
      <c r="F56" s="95"/>
      <c r="G56" s="95"/>
      <c r="H56" s="95"/>
      <c r="I56" s="95"/>
      <c r="J56" s="95"/>
      <c r="K56" s="95"/>
    </row>
    <row r="57" spans="1:29" s="54" customFormat="1" ht="13.8">
      <c r="A57" s="21"/>
      <c r="B57" s="52" t="s">
        <v>20</v>
      </c>
      <c r="C57" s="25" t="s">
        <v>21</v>
      </c>
      <c r="D57" s="53">
        <f>D55*0.08</f>
        <v>30.88</v>
      </c>
      <c r="E57" s="95"/>
      <c r="F57" s="95"/>
      <c r="G57" s="95"/>
      <c r="H57" s="95"/>
      <c r="I57" s="95"/>
      <c r="J57" s="95"/>
      <c r="K57" s="95"/>
      <c r="AC57" s="54" t="s">
        <v>68</v>
      </c>
    </row>
    <row r="58" spans="1:29" s="54" customFormat="1" ht="13.8">
      <c r="A58" s="21"/>
      <c r="B58" s="52" t="s">
        <v>58</v>
      </c>
      <c r="C58" s="25"/>
      <c r="D58" s="53"/>
      <c r="E58" s="95"/>
      <c r="F58" s="95"/>
      <c r="G58" s="95"/>
      <c r="H58" s="95"/>
      <c r="I58" s="95"/>
      <c r="J58" s="95"/>
      <c r="K58" s="95"/>
    </row>
    <row r="59" spans="1:29" s="42" customFormat="1" ht="15.75" customHeight="1">
      <c r="A59" s="21"/>
      <c r="B59" s="52" t="s">
        <v>64</v>
      </c>
      <c r="C59" s="25" t="s">
        <v>12</v>
      </c>
      <c r="D59" s="53">
        <f>D55*0.05*1.12</f>
        <v>21.616000000000003</v>
      </c>
      <c r="E59" s="95"/>
      <c r="F59" s="95"/>
      <c r="G59" s="95"/>
      <c r="H59" s="95"/>
      <c r="I59" s="95"/>
      <c r="J59" s="95"/>
      <c r="K59" s="95"/>
    </row>
    <row r="60" spans="1:29" s="29" customFormat="1" ht="13.8">
      <c r="A60" s="21"/>
      <c r="B60" s="52" t="s">
        <v>23</v>
      </c>
      <c r="C60" s="25" t="s">
        <v>21</v>
      </c>
      <c r="D60" s="53">
        <f>D55*0.07</f>
        <v>27.020000000000003</v>
      </c>
      <c r="E60" s="95"/>
      <c r="F60" s="95"/>
      <c r="G60" s="95"/>
      <c r="H60" s="95"/>
      <c r="I60" s="95"/>
      <c r="J60" s="95"/>
      <c r="K60" s="95"/>
    </row>
    <row r="61" spans="1:29" s="29" customFormat="1" ht="41.4">
      <c r="A61" s="21">
        <f>A55+1</f>
        <v>7</v>
      </c>
      <c r="B61" s="22" t="s">
        <v>210</v>
      </c>
      <c r="C61" s="21" t="s">
        <v>31</v>
      </c>
      <c r="D61" s="109">
        <f>D55</f>
        <v>386</v>
      </c>
      <c r="E61" s="107"/>
      <c r="F61" s="95"/>
      <c r="G61" s="107"/>
      <c r="H61" s="107"/>
      <c r="I61" s="107"/>
      <c r="J61" s="107"/>
      <c r="K61" s="95"/>
    </row>
    <row r="62" spans="1:29" s="29" customFormat="1" ht="24.6" customHeight="1">
      <c r="A62" s="21"/>
      <c r="B62" s="52" t="s">
        <v>57</v>
      </c>
      <c r="C62" s="25" t="str">
        <f>C61</f>
        <v>მ²</v>
      </c>
      <c r="D62" s="53">
        <f>D61</f>
        <v>386</v>
      </c>
      <c r="E62" s="95"/>
      <c r="F62" s="95"/>
      <c r="G62" s="95"/>
      <c r="H62" s="95"/>
      <c r="I62" s="95"/>
      <c r="J62" s="95"/>
      <c r="K62" s="95"/>
    </row>
    <row r="63" spans="1:29" s="29" customFormat="1" ht="13.8">
      <c r="A63" s="21"/>
      <c r="B63" s="52" t="s">
        <v>20</v>
      </c>
      <c r="C63" s="25" t="s">
        <v>21</v>
      </c>
      <c r="D63" s="53">
        <f>D61*0.08</f>
        <v>30.88</v>
      </c>
      <c r="E63" s="95"/>
      <c r="F63" s="95"/>
      <c r="G63" s="95"/>
      <c r="H63" s="95"/>
      <c r="I63" s="95"/>
      <c r="J63" s="95"/>
      <c r="K63" s="95"/>
    </row>
    <row r="64" spans="1:29" s="29" customFormat="1" ht="13.8">
      <c r="A64" s="21"/>
      <c r="B64" s="52" t="s">
        <v>58</v>
      </c>
      <c r="C64" s="25"/>
      <c r="D64" s="53"/>
      <c r="E64" s="95"/>
      <c r="F64" s="95"/>
      <c r="G64" s="95"/>
      <c r="H64" s="95"/>
      <c r="I64" s="95"/>
      <c r="J64" s="95"/>
      <c r="K64" s="95"/>
    </row>
    <row r="65" spans="1:12" s="29" customFormat="1" ht="13.8">
      <c r="A65" s="21"/>
      <c r="B65" s="52" t="s">
        <v>53</v>
      </c>
      <c r="C65" s="25" t="s">
        <v>12</v>
      </c>
      <c r="D65" s="53">
        <f>D61*0.06</f>
        <v>23.16</v>
      </c>
      <c r="E65" s="95"/>
      <c r="F65" s="95"/>
      <c r="G65" s="95"/>
      <c r="H65" s="95"/>
      <c r="I65" s="95"/>
      <c r="J65" s="95"/>
      <c r="K65" s="95"/>
    </row>
    <row r="66" spans="1:12" s="29" customFormat="1" ht="13.8">
      <c r="A66" s="21"/>
      <c r="B66" s="52" t="s">
        <v>23</v>
      </c>
      <c r="C66" s="25" t="s">
        <v>21</v>
      </c>
      <c r="D66" s="53">
        <f>D61*0.07</f>
        <v>27.020000000000003</v>
      </c>
      <c r="E66" s="95"/>
      <c r="F66" s="95"/>
      <c r="G66" s="95"/>
      <c r="H66" s="95"/>
      <c r="I66" s="95"/>
      <c r="J66" s="95"/>
      <c r="K66" s="95"/>
    </row>
    <row r="67" spans="1:12" s="51" customFormat="1" ht="27.6">
      <c r="A67" s="21">
        <f>A61+1</f>
        <v>8</v>
      </c>
      <c r="B67" s="22" t="s">
        <v>60</v>
      </c>
      <c r="C67" s="21" t="s">
        <v>31</v>
      </c>
      <c r="D67" s="109">
        <v>374</v>
      </c>
      <c r="E67" s="107"/>
      <c r="F67" s="107"/>
      <c r="G67" s="107"/>
      <c r="H67" s="107"/>
      <c r="I67" s="107"/>
      <c r="J67" s="107"/>
      <c r="K67" s="107"/>
    </row>
    <row r="68" spans="1:12" s="54" customFormat="1" ht="13.8">
      <c r="A68" s="21"/>
      <c r="B68" s="52" t="s">
        <v>57</v>
      </c>
      <c r="C68" s="25" t="str">
        <f>C67</f>
        <v>მ²</v>
      </c>
      <c r="D68" s="53">
        <f>D67</f>
        <v>374</v>
      </c>
      <c r="E68" s="95"/>
      <c r="F68" s="95"/>
      <c r="G68" s="95"/>
      <c r="H68" s="95"/>
      <c r="I68" s="95"/>
      <c r="J68" s="95"/>
      <c r="K68" s="95"/>
    </row>
    <row r="69" spans="1:12" s="54" customFormat="1" ht="13.8">
      <c r="A69" s="21"/>
      <c r="B69" s="52" t="s">
        <v>20</v>
      </c>
      <c r="C69" s="25" t="s">
        <v>21</v>
      </c>
      <c r="D69" s="53">
        <f>D67*0.0032</f>
        <v>1.1968000000000001</v>
      </c>
      <c r="E69" s="95"/>
      <c r="F69" s="95"/>
      <c r="G69" s="95"/>
      <c r="H69" s="95"/>
      <c r="I69" s="95"/>
      <c r="J69" s="95"/>
      <c r="K69" s="95"/>
    </row>
    <row r="70" spans="1:12" s="54" customFormat="1" ht="13.8">
      <c r="A70" s="21"/>
      <c r="B70" s="52" t="s">
        <v>58</v>
      </c>
      <c r="C70" s="25"/>
      <c r="D70" s="53"/>
      <c r="E70" s="95"/>
      <c r="F70" s="95"/>
      <c r="G70" s="95"/>
      <c r="H70" s="95"/>
      <c r="I70" s="95"/>
      <c r="J70" s="95"/>
      <c r="K70" s="95"/>
    </row>
    <row r="71" spans="1:12" s="54" customFormat="1" ht="13.8">
      <c r="A71" s="21"/>
      <c r="B71" s="24" t="s">
        <v>61</v>
      </c>
      <c r="C71" s="25" t="str">
        <f>C67</f>
        <v>მ²</v>
      </c>
      <c r="D71" s="53">
        <f>D67*1.15</f>
        <v>430.09999999999997</v>
      </c>
      <c r="E71" s="95"/>
      <c r="F71" s="95"/>
      <c r="G71" s="95"/>
      <c r="H71" s="95"/>
      <c r="I71" s="95"/>
      <c r="J71" s="95"/>
      <c r="K71" s="95"/>
    </row>
    <row r="72" spans="1:12" s="54" customFormat="1" ht="13.8">
      <c r="A72" s="21"/>
      <c r="B72" s="24" t="s">
        <v>47</v>
      </c>
      <c r="C72" s="25" t="s">
        <v>28</v>
      </c>
      <c r="D72" s="53">
        <f>D67*0.35</f>
        <v>130.9</v>
      </c>
      <c r="E72" s="95"/>
      <c r="F72" s="95"/>
      <c r="G72" s="95"/>
      <c r="H72" s="95"/>
      <c r="I72" s="95"/>
      <c r="J72" s="95"/>
      <c r="K72" s="95"/>
    </row>
    <row r="73" spans="1:12" s="51" customFormat="1" ht="13.8">
      <c r="A73" s="21"/>
      <c r="B73" s="24" t="s">
        <v>59</v>
      </c>
      <c r="C73" s="25" t="s">
        <v>28</v>
      </c>
      <c r="D73" s="53">
        <f>D67*0.15</f>
        <v>56.1</v>
      </c>
      <c r="E73" s="95"/>
      <c r="F73" s="95"/>
      <c r="G73" s="95"/>
      <c r="H73" s="95"/>
      <c r="I73" s="95"/>
      <c r="J73" s="95"/>
      <c r="K73" s="95"/>
    </row>
    <row r="74" spans="1:12" s="54" customFormat="1" ht="13.8">
      <c r="A74" s="21"/>
      <c r="B74" s="52" t="s">
        <v>23</v>
      </c>
      <c r="C74" s="25" t="s">
        <v>21</v>
      </c>
      <c r="D74" s="53">
        <f>D67*0.14</f>
        <v>52.360000000000007</v>
      </c>
      <c r="E74" s="95"/>
      <c r="F74" s="95"/>
      <c r="G74" s="95"/>
      <c r="H74" s="95"/>
      <c r="I74" s="95"/>
      <c r="J74" s="95"/>
      <c r="K74" s="95"/>
    </row>
    <row r="75" spans="1:12" s="54" customFormat="1" ht="27.6">
      <c r="A75" s="21">
        <f>A67+1</f>
        <v>9</v>
      </c>
      <c r="B75" s="22" t="s">
        <v>63</v>
      </c>
      <c r="C75" s="21" t="s">
        <v>31</v>
      </c>
      <c r="D75" s="109">
        <f>D67</f>
        <v>374</v>
      </c>
      <c r="E75" s="107"/>
      <c r="F75" s="95"/>
      <c r="G75" s="107"/>
      <c r="H75" s="107"/>
      <c r="I75" s="107"/>
      <c r="J75" s="107"/>
      <c r="K75" s="95"/>
    </row>
    <row r="76" spans="1:12" s="54" customFormat="1" ht="13.8">
      <c r="A76" s="21"/>
      <c r="B76" s="52" t="s">
        <v>57</v>
      </c>
      <c r="C76" s="25" t="str">
        <f>C75</f>
        <v>მ²</v>
      </c>
      <c r="D76" s="53">
        <f>D75</f>
        <v>374</v>
      </c>
      <c r="E76" s="95"/>
      <c r="F76" s="95"/>
      <c r="G76" s="95"/>
      <c r="H76" s="95"/>
      <c r="I76" s="95"/>
      <c r="J76" s="95"/>
      <c r="K76" s="95"/>
    </row>
    <row r="77" spans="1:12" s="51" customFormat="1" ht="13.8">
      <c r="A77" s="21"/>
      <c r="B77" s="52" t="s">
        <v>20</v>
      </c>
      <c r="C77" s="25" t="s">
        <v>21</v>
      </c>
      <c r="D77" s="53">
        <f>D75*0.08</f>
        <v>29.92</v>
      </c>
      <c r="E77" s="95"/>
      <c r="F77" s="95"/>
      <c r="G77" s="95"/>
      <c r="H77" s="95"/>
      <c r="I77" s="95"/>
      <c r="J77" s="95"/>
      <c r="K77" s="95"/>
      <c r="L77" s="93"/>
    </row>
    <row r="78" spans="1:12" s="54" customFormat="1" ht="13.8">
      <c r="A78" s="21"/>
      <c r="B78" s="52" t="s">
        <v>58</v>
      </c>
      <c r="C78" s="25"/>
      <c r="D78" s="53"/>
      <c r="E78" s="95"/>
      <c r="F78" s="95"/>
      <c r="G78" s="95"/>
      <c r="H78" s="95"/>
      <c r="I78" s="95"/>
      <c r="J78" s="95"/>
      <c r="K78" s="95"/>
    </row>
    <row r="79" spans="1:12" s="54" customFormat="1" ht="13.8">
      <c r="A79" s="21"/>
      <c r="B79" s="52" t="s">
        <v>62</v>
      </c>
      <c r="C79" s="25" t="s">
        <v>31</v>
      </c>
      <c r="D79" s="53">
        <f>D75*1.05</f>
        <v>392.7</v>
      </c>
      <c r="E79" s="95"/>
      <c r="F79" s="95"/>
      <c r="G79" s="95"/>
      <c r="H79" s="95"/>
      <c r="I79" s="95"/>
      <c r="J79" s="95"/>
      <c r="K79" s="95"/>
    </row>
    <row r="80" spans="1:12" s="54" customFormat="1" ht="13.8">
      <c r="A80" s="21"/>
      <c r="B80" s="52" t="s">
        <v>23</v>
      </c>
      <c r="C80" s="25" t="s">
        <v>21</v>
      </c>
      <c r="D80" s="53">
        <f>D75*0.4</f>
        <v>149.6</v>
      </c>
      <c r="E80" s="95"/>
      <c r="F80" s="95"/>
      <c r="G80" s="95"/>
      <c r="H80" s="95"/>
      <c r="I80" s="95"/>
      <c r="J80" s="95"/>
      <c r="K80" s="95"/>
    </row>
    <row r="81" spans="1:29" s="54" customFormat="1" ht="27.6">
      <c r="A81" s="21">
        <f>A75+1</f>
        <v>10</v>
      </c>
      <c r="B81" s="22" t="s">
        <v>66</v>
      </c>
      <c r="C81" s="21" t="s">
        <v>31</v>
      </c>
      <c r="D81" s="109">
        <f>D67</f>
        <v>374</v>
      </c>
      <c r="E81" s="107"/>
      <c r="F81" s="95"/>
      <c r="G81" s="107"/>
      <c r="H81" s="107"/>
      <c r="I81" s="107"/>
      <c r="J81" s="107"/>
      <c r="K81" s="95"/>
    </row>
    <row r="82" spans="1:29" s="54" customFormat="1" ht="13.8">
      <c r="A82" s="21"/>
      <c r="B82" s="52" t="s">
        <v>57</v>
      </c>
      <c r="C82" s="25" t="str">
        <f>C81</f>
        <v>მ²</v>
      </c>
      <c r="D82" s="53">
        <f>D81</f>
        <v>374</v>
      </c>
      <c r="E82" s="95"/>
      <c r="F82" s="95"/>
      <c r="G82" s="95"/>
      <c r="H82" s="95"/>
      <c r="I82" s="95"/>
      <c r="J82" s="95"/>
      <c r="K82" s="95"/>
    </row>
    <row r="83" spans="1:29" s="51" customFormat="1" ht="13.8">
      <c r="A83" s="21"/>
      <c r="B83" s="52" t="s">
        <v>58</v>
      </c>
      <c r="C83" s="25"/>
      <c r="D83" s="53"/>
      <c r="E83" s="95"/>
      <c r="F83" s="95"/>
      <c r="G83" s="95"/>
      <c r="H83" s="95"/>
      <c r="I83" s="95"/>
      <c r="J83" s="95"/>
      <c r="K83" s="95"/>
    </row>
    <row r="84" spans="1:29" s="54" customFormat="1" ht="13.8">
      <c r="A84" s="21"/>
      <c r="B84" s="52" t="s">
        <v>67</v>
      </c>
      <c r="C84" s="25" t="s">
        <v>31</v>
      </c>
      <c r="D84" s="53">
        <f>D81*1.05</f>
        <v>392.7</v>
      </c>
      <c r="E84" s="95"/>
      <c r="F84" s="95"/>
      <c r="G84" s="95"/>
      <c r="H84" s="95"/>
      <c r="I84" s="95"/>
      <c r="J84" s="95"/>
      <c r="K84" s="95"/>
    </row>
    <row r="85" spans="1:29" s="54" customFormat="1" ht="27.6">
      <c r="A85" s="21">
        <f>A81+1</f>
        <v>11</v>
      </c>
      <c r="B85" s="22" t="s">
        <v>65</v>
      </c>
      <c r="C85" s="21" t="s">
        <v>31</v>
      </c>
      <c r="D85" s="109">
        <f>D75</f>
        <v>374</v>
      </c>
      <c r="E85" s="107"/>
      <c r="F85" s="95"/>
      <c r="G85" s="107"/>
      <c r="H85" s="107"/>
      <c r="I85" s="107"/>
      <c r="J85" s="107"/>
      <c r="K85" s="95"/>
    </row>
    <row r="86" spans="1:29" s="54" customFormat="1" ht="13.8">
      <c r="A86" s="21"/>
      <c r="B86" s="52" t="s">
        <v>57</v>
      </c>
      <c r="C86" s="25" t="str">
        <f>C85</f>
        <v>მ²</v>
      </c>
      <c r="D86" s="53">
        <f>D85</f>
        <v>374</v>
      </c>
      <c r="E86" s="95"/>
      <c r="F86" s="95"/>
      <c r="G86" s="95"/>
      <c r="H86" s="95"/>
      <c r="I86" s="95"/>
      <c r="J86" s="95"/>
      <c r="K86" s="95"/>
    </row>
    <row r="87" spans="1:29" s="54" customFormat="1" ht="13.8">
      <c r="A87" s="21"/>
      <c r="B87" s="52" t="s">
        <v>20</v>
      </c>
      <c r="C87" s="25" t="s">
        <v>21</v>
      </c>
      <c r="D87" s="53">
        <f>D85*0.08</f>
        <v>29.92</v>
      </c>
      <c r="E87" s="95"/>
      <c r="F87" s="95"/>
      <c r="G87" s="95"/>
      <c r="H87" s="95"/>
      <c r="I87" s="95"/>
      <c r="J87" s="95"/>
      <c r="K87" s="95"/>
      <c r="AC87" s="54" t="s">
        <v>68</v>
      </c>
    </row>
    <row r="88" spans="1:29" s="54" customFormat="1" ht="13.8">
      <c r="A88" s="21"/>
      <c r="B88" s="52" t="s">
        <v>58</v>
      </c>
      <c r="C88" s="25"/>
      <c r="D88" s="53"/>
      <c r="E88" s="95"/>
      <c r="F88" s="95"/>
      <c r="G88" s="95"/>
      <c r="H88" s="95"/>
      <c r="I88" s="95"/>
      <c r="J88" s="95"/>
      <c r="K88" s="95"/>
    </row>
    <row r="89" spans="1:29" s="51" customFormat="1" ht="13.8">
      <c r="A89" s="21"/>
      <c r="B89" s="52" t="s">
        <v>64</v>
      </c>
      <c r="C89" s="25" t="s">
        <v>12</v>
      </c>
      <c r="D89" s="53">
        <f>D85*0.1*1.12</f>
        <v>41.888000000000005</v>
      </c>
      <c r="E89" s="95"/>
      <c r="F89" s="95"/>
      <c r="G89" s="95"/>
      <c r="H89" s="95"/>
      <c r="I89" s="95"/>
      <c r="J89" s="95"/>
      <c r="K89" s="95"/>
    </row>
    <row r="90" spans="1:29" s="54" customFormat="1" ht="13.5" customHeight="1">
      <c r="A90" s="21"/>
      <c r="B90" s="52" t="s">
        <v>23</v>
      </c>
      <c r="C90" s="25" t="s">
        <v>21</v>
      </c>
      <c r="D90" s="53">
        <f>D85*0.07</f>
        <v>26.180000000000003</v>
      </c>
      <c r="E90" s="95"/>
      <c r="F90" s="95"/>
      <c r="G90" s="95"/>
      <c r="H90" s="95"/>
      <c r="I90" s="95"/>
      <c r="J90" s="95"/>
      <c r="K90" s="95"/>
    </row>
    <row r="91" spans="1:29" s="54" customFormat="1" ht="13.5" customHeight="1">
      <c r="A91" s="21">
        <f>A85+1</f>
        <v>12</v>
      </c>
      <c r="B91" s="22" t="s">
        <v>69</v>
      </c>
      <c r="C91" s="21" t="s">
        <v>31</v>
      </c>
      <c r="D91" s="109">
        <f>D85</f>
        <v>374</v>
      </c>
      <c r="E91" s="107"/>
      <c r="F91" s="95"/>
      <c r="G91" s="107"/>
      <c r="H91" s="107"/>
      <c r="I91" s="107"/>
      <c r="J91" s="107"/>
      <c r="K91" s="95"/>
    </row>
    <row r="92" spans="1:29" s="54" customFormat="1" ht="13.5" customHeight="1">
      <c r="A92" s="21"/>
      <c r="B92" s="52" t="s">
        <v>57</v>
      </c>
      <c r="C92" s="25" t="str">
        <f>C91</f>
        <v>მ²</v>
      </c>
      <c r="D92" s="53">
        <f>D91</f>
        <v>374</v>
      </c>
      <c r="E92" s="95"/>
      <c r="F92" s="95"/>
      <c r="G92" s="95"/>
      <c r="H92" s="95"/>
      <c r="I92" s="95"/>
      <c r="J92" s="95"/>
      <c r="K92" s="95"/>
    </row>
    <row r="93" spans="1:29" s="20" customFormat="1" ht="13.8">
      <c r="A93" s="21"/>
      <c r="B93" s="52" t="s">
        <v>20</v>
      </c>
      <c r="C93" s="25" t="s">
        <v>21</v>
      </c>
      <c r="D93" s="53">
        <f>D91*0.08</f>
        <v>29.92</v>
      </c>
      <c r="E93" s="95"/>
      <c r="F93" s="95"/>
      <c r="G93" s="95"/>
      <c r="H93" s="95"/>
      <c r="I93" s="95"/>
      <c r="J93" s="95"/>
      <c r="K93" s="95"/>
    </row>
    <row r="94" spans="1:29" s="29" customFormat="1" ht="13.8">
      <c r="A94" s="21"/>
      <c r="B94" s="52" t="s">
        <v>58</v>
      </c>
      <c r="C94" s="25"/>
      <c r="D94" s="53"/>
      <c r="E94" s="95"/>
      <c r="F94" s="95"/>
      <c r="G94" s="95"/>
      <c r="H94" s="95"/>
      <c r="I94" s="95"/>
      <c r="J94" s="95"/>
      <c r="K94" s="95"/>
    </row>
    <row r="95" spans="1:29" s="29" customFormat="1" ht="13.8">
      <c r="A95" s="21"/>
      <c r="B95" s="52" t="s">
        <v>53</v>
      </c>
      <c r="C95" s="25" t="s">
        <v>12</v>
      </c>
      <c r="D95" s="53">
        <f>D91*0.06</f>
        <v>22.439999999999998</v>
      </c>
      <c r="E95" s="95"/>
      <c r="F95" s="95"/>
      <c r="G95" s="95"/>
      <c r="H95" s="95"/>
      <c r="I95" s="95"/>
      <c r="J95" s="95"/>
      <c r="K95" s="95"/>
    </row>
    <row r="96" spans="1:29" s="29" customFormat="1" ht="13.8">
      <c r="A96" s="21"/>
      <c r="B96" s="52" t="s">
        <v>23</v>
      </c>
      <c r="C96" s="25" t="s">
        <v>21</v>
      </c>
      <c r="D96" s="53">
        <f>D91*0.07</f>
        <v>26.180000000000003</v>
      </c>
      <c r="E96" s="95"/>
      <c r="F96" s="95"/>
      <c r="G96" s="95"/>
      <c r="H96" s="95"/>
      <c r="I96" s="95"/>
      <c r="J96" s="95"/>
      <c r="K96" s="95"/>
    </row>
    <row r="97" spans="1:11" s="29" customFormat="1" ht="27.6">
      <c r="A97" s="21">
        <f>A91+1</f>
        <v>13</v>
      </c>
      <c r="B97" s="22" t="s">
        <v>80</v>
      </c>
      <c r="C97" s="21" t="s">
        <v>31</v>
      </c>
      <c r="D97" s="109">
        <f>D91</f>
        <v>374</v>
      </c>
      <c r="E97" s="107"/>
      <c r="F97" s="95"/>
      <c r="G97" s="107"/>
      <c r="H97" s="107"/>
      <c r="I97" s="107"/>
      <c r="J97" s="107"/>
      <c r="K97" s="95"/>
    </row>
    <row r="98" spans="1:11" s="29" customFormat="1" ht="13.8">
      <c r="A98" s="21"/>
      <c r="B98" s="52" t="s">
        <v>57</v>
      </c>
      <c r="C98" s="25" t="str">
        <f>C97</f>
        <v>მ²</v>
      </c>
      <c r="D98" s="53">
        <f>D97</f>
        <v>374</v>
      </c>
      <c r="E98" s="95"/>
      <c r="F98" s="95"/>
      <c r="G98" s="95"/>
      <c r="H98" s="95"/>
      <c r="I98" s="95"/>
      <c r="J98" s="95"/>
      <c r="K98" s="95"/>
    </row>
    <row r="99" spans="1:11" s="29" customFormat="1" ht="13.8">
      <c r="A99" s="21"/>
      <c r="B99" s="52" t="s">
        <v>58</v>
      </c>
      <c r="C99" s="25"/>
      <c r="D99" s="53"/>
      <c r="E99" s="95"/>
      <c r="F99" s="95"/>
      <c r="G99" s="95"/>
      <c r="H99" s="95"/>
      <c r="I99" s="95"/>
      <c r="J99" s="95"/>
      <c r="K99" s="95"/>
    </row>
    <row r="100" spans="1:11" s="29" customFormat="1" ht="13.8">
      <c r="A100" s="21"/>
      <c r="B100" s="52" t="s">
        <v>70</v>
      </c>
      <c r="C100" s="25" t="s">
        <v>31</v>
      </c>
      <c r="D100" s="53">
        <f>D97*1.05</f>
        <v>392.7</v>
      </c>
      <c r="E100" s="95"/>
      <c r="F100" s="95"/>
      <c r="G100" s="95"/>
      <c r="H100" s="95"/>
      <c r="I100" s="95"/>
      <c r="J100" s="95"/>
      <c r="K100" s="95"/>
    </row>
    <row r="101" spans="1:11" s="54" customFormat="1" ht="27.6">
      <c r="A101" s="21">
        <f>A97+1</f>
        <v>14</v>
      </c>
      <c r="B101" s="22" t="s">
        <v>85</v>
      </c>
      <c r="C101" s="21" t="s">
        <v>31</v>
      </c>
      <c r="D101" s="109">
        <f>3*4.5*2+1.35*2.232+2.06*2.3+6.253*3+0.7*1.4*3</f>
        <v>56.450199999999995</v>
      </c>
      <c r="E101" s="107"/>
      <c r="F101" s="107"/>
      <c r="G101" s="107"/>
      <c r="H101" s="107"/>
      <c r="I101" s="107"/>
      <c r="J101" s="107"/>
      <c r="K101" s="107"/>
    </row>
    <row r="102" spans="1:11" s="54" customFormat="1" ht="13.8">
      <c r="A102" s="21"/>
      <c r="B102" s="52" t="s">
        <v>16</v>
      </c>
      <c r="C102" s="25" t="str">
        <f>C101</f>
        <v>მ²</v>
      </c>
      <c r="D102" s="53">
        <f>D101</f>
        <v>56.450199999999995</v>
      </c>
      <c r="E102" s="95"/>
      <c r="F102" s="95"/>
      <c r="G102" s="95"/>
      <c r="H102" s="95"/>
      <c r="I102" s="95"/>
      <c r="J102" s="95"/>
      <c r="K102" s="95"/>
    </row>
    <row r="103" spans="1:11" s="54" customFormat="1" ht="13.8">
      <c r="A103" s="21"/>
      <c r="B103" s="52" t="s">
        <v>8</v>
      </c>
      <c r="C103" s="25" t="s">
        <v>21</v>
      </c>
      <c r="D103" s="53">
        <f>D101*0.65</f>
        <v>36.692630000000001</v>
      </c>
      <c r="E103" s="95"/>
      <c r="F103" s="95"/>
      <c r="G103" s="95"/>
      <c r="H103" s="95"/>
      <c r="I103" s="95"/>
      <c r="J103" s="95"/>
      <c r="K103" s="95"/>
    </row>
    <row r="104" spans="1:11" s="54" customFormat="1" ht="13.8">
      <c r="A104" s="21"/>
      <c r="B104" s="52" t="s">
        <v>6</v>
      </c>
      <c r="C104" s="25"/>
      <c r="D104" s="53"/>
      <c r="E104" s="95"/>
      <c r="F104" s="95"/>
      <c r="G104" s="95"/>
      <c r="H104" s="95"/>
      <c r="I104" s="95"/>
      <c r="J104" s="95"/>
      <c r="K104" s="95"/>
    </row>
    <row r="105" spans="1:11" s="54" customFormat="1" ht="13.8">
      <c r="A105" s="21"/>
      <c r="B105" s="52" t="s">
        <v>81</v>
      </c>
      <c r="C105" s="25" t="s">
        <v>31</v>
      </c>
      <c r="D105" s="53">
        <f>D101</f>
        <v>56.450199999999995</v>
      </c>
      <c r="E105" s="95"/>
      <c r="F105" s="95"/>
      <c r="G105" s="95"/>
      <c r="H105" s="95"/>
      <c r="I105" s="95"/>
      <c r="J105" s="95"/>
      <c r="K105" s="95"/>
    </row>
    <row r="106" spans="1:11" s="54" customFormat="1" ht="27.6">
      <c r="A106" s="21">
        <f>A101+1</f>
        <v>15</v>
      </c>
      <c r="B106" s="22" t="s">
        <v>86</v>
      </c>
      <c r="C106" s="21" t="s">
        <v>31</v>
      </c>
      <c r="D106" s="109">
        <f>2.3*1.625+2.2*2.771+2.2*8.959</f>
        <v>29.543500000000002</v>
      </c>
      <c r="E106" s="107"/>
      <c r="F106" s="107"/>
      <c r="G106" s="107"/>
      <c r="H106" s="107"/>
      <c r="I106" s="107"/>
      <c r="J106" s="107"/>
      <c r="K106" s="107"/>
    </row>
    <row r="107" spans="1:11" s="51" customFormat="1" ht="13.8">
      <c r="A107" s="21"/>
      <c r="B107" s="52" t="s">
        <v>16</v>
      </c>
      <c r="C107" s="25" t="str">
        <f>C106</f>
        <v>მ²</v>
      </c>
      <c r="D107" s="53">
        <f>D106</f>
        <v>29.543500000000002</v>
      </c>
      <c r="E107" s="95"/>
      <c r="F107" s="95"/>
      <c r="G107" s="95"/>
      <c r="H107" s="95"/>
      <c r="I107" s="95"/>
      <c r="J107" s="95"/>
      <c r="K107" s="95"/>
    </row>
    <row r="108" spans="1:11" s="54" customFormat="1" ht="13.8">
      <c r="A108" s="21"/>
      <c r="B108" s="52" t="s">
        <v>8</v>
      </c>
      <c r="C108" s="25" t="s">
        <v>21</v>
      </c>
      <c r="D108" s="53">
        <f>D106*0.54</f>
        <v>15.953490000000002</v>
      </c>
      <c r="E108" s="95"/>
      <c r="F108" s="95"/>
      <c r="G108" s="95"/>
      <c r="H108" s="95"/>
      <c r="I108" s="95"/>
      <c r="J108" s="95"/>
      <c r="K108" s="95"/>
    </row>
    <row r="109" spans="1:11" s="54" customFormat="1" ht="13.8">
      <c r="A109" s="21"/>
      <c r="B109" s="52" t="s">
        <v>17</v>
      </c>
      <c r="C109" s="25"/>
      <c r="D109" s="53"/>
      <c r="E109" s="95"/>
      <c r="F109" s="95"/>
      <c r="G109" s="95"/>
      <c r="H109" s="95"/>
      <c r="I109" s="95"/>
      <c r="J109" s="95"/>
      <c r="K109" s="95"/>
    </row>
    <row r="110" spans="1:11" s="54" customFormat="1" ht="13.8">
      <c r="A110" s="21"/>
      <c r="B110" s="52" t="s">
        <v>82</v>
      </c>
      <c r="C110" s="25" t="s">
        <v>31</v>
      </c>
      <c r="D110" s="53">
        <f>D106</f>
        <v>29.543500000000002</v>
      </c>
      <c r="E110" s="95"/>
      <c r="F110" s="95"/>
      <c r="G110" s="95"/>
      <c r="H110" s="95"/>
      <c r="I110" s="95"/>
      <c r="J110" s="95"/>
      <c r="K110" s="95"/>
    </row>
    <row r="111" spans="1:11" s="54" customFormat="1" ht="13.8">
      <c r="A111" s="21"/>
      <c r="B111" s="52" t="s">
        <v>83</v>
      </c>
      <c r="C111" s="25" t="s">
        <v>28</v>
      </c>
      <c r="D111" s="53">
        <f>D106*0.55</f>
        <v>16.248925000000003</v>
      </c>
      <c r="E111" s="95"/>
      <c r="F111" s="95"/>
      <c r="G111" s="95"/>
      <c r="H111" s="95"/>
      <c r="I111" s="95"/>
      <c r="J111" s="95"/>
      <c r="K111" s="95"/>
    </row>
    <row r="112" spans="1:11" s="54" customFormat="1" ht="13.8">
      <c r="A112" s="21"/>
      <c r="B112" s="52" t="s">
        <v>84</v>
      </c>
      <c r="C112" s="25" t="s">
        <v>28</v>
      </c>
      <c r="D112" s="53">
        <f>D106*0.49</f>
        <v>14.476315000000001</v>
      </c>
      <c r="E112" s="95"/>
      <c r="F112" s="95"/>
      <c r="G112" s="95"/>
      <c r="H112" s="95"/>
      <c r="I112" s="95"/>
      <c r="J112" s="95"/>
      <c r="K112" s="95"/>
    </row>
    <row r="113" spans="1:11" s="5" customFormat="1" ht="13.8">
      <c r="A113" s="21"/>
      <c r="B113" s="52" t="s">
        <v>32</v>
      </c>
      <c r="C113" s="25" t="s">
        <v>28</v>
      </c>
      <c r="D113" s="53">
        <f>D106*0.04</f>
        <v>1.18174</v>
      </c>
      <c r="E113" s="95"/>
      <c r="F113" s="95"/>
      <c r="G113" s="95"/>
      <c r="H113" s="95"/>
      <c r="I113" s="95"/>
      <c r="J113" s="95"/>
      <c r="K113" s="95"/>
    </row>
    <row r="114" spans="1:11" s="7" customFormat="1" ht="13.8">
      <c r="A114" s="21"/>
      <c r="B114" s="52" t="s">
        <v>23</v>
      </c>
      <c r="C114" s="25" t="s">
        <v>21</v>
      </c>
      <c r="D114" s="53">
        <f>D106*0.656</f>
        <v>19.380536000000003</v>
      </c>
      <c r="E114" s="95"/>
      <c r="F114" s="95"/>
      <c r="G114" s="95"/>
      <c r="H114" s="95"/>
      <c r="I114" s="95"/>
      <c r="J114" s="95"/>
      <c r="K114" s="95"/>
    </row>
    <row r="115" spans="1:11" s="7" customFormat="1" ht="27.6">
      <c r="A115" s="21">
        <f>A106+1</f>
        <v>16</v>
      </c>
      <c r="B115" s="22" t="s">
        <v>204</v>
      </c>
      <c r="C115" s="21" t="s">
        <v>31</v>
      </c>
      <c r="D115" s="109">
        <f>2.3*1+1.45*2.3</f>
        <v>5.6349999999999998</v>
      </c>
      <c r="E115" s="107"/>
      <c r="F115" s="107"/>
      <c r="G115" s="107"/>
      <c r="H115" s="107"/>
      <c r="I115" s="107"/>
      <c r="J115" s="107"/>
      <c r="K115" s="107"/>
    </row>
    <row r="116" spans="1:11" s="7" customFormat="1" ht="13.8">
      <c r="A116" s="21"/>
      <c r="B116" s="52" t="s">
        <v>16</v>
      </c>
      <c r="C116" s="25" t="str">
        <f>C115</f>
        <v>მ²</v>
      </c>
      <c r="D116" s="53">
        <f>D115</f>
        <v>5.6349999999999998</v>
      </c>
      <c r="E116" s="95"/>
      <c r="F116" s="95"/>
      <c r="G116" s="95"/>
      <c r="H116" s="95"/>
      <c r="I116" s="95"/>
      <c r="J116" s="95"/>
      <c r="K116" s="95"/>
    </row>
    <row r="117" spans="1:11" s="7" customFormat="1" ht="13.8">
      <c r="A117" s="21"/>
      <c r="B117" s="52" t="s">
        <v>8</v>
      </c>
      <c r="C117" s="25" t="s">
        <v>21</v>
      </c>
      <c r="D117" s="53">
        <f>D115*0.65</f>
        <v>3.66275</v>
      </c>
      <c r="E117" s="95"/>
      <c r="F117" s="95"/>
      <c r="G117" s="95"/>
      <c r="H117" s="95"/>
      <c r="I117" s="95"/>
      <c r="J117" s="95"/>
      <c r="K117" s="95"/>
    </row>
    <row r="118" spans="1:11" s="7" customFormat="1" ht="13.8">
      <c r="A118" s="21"/>
      <c r="B118" s="52" t="s">
        <v>6</v>
      </c>
      <c r="C118" s="25"/>
      <c r="D118" s="53"/>
      <c r="E118" s="95"/>
      <c r="F118" s="95"/>
      <c r="G118" s="95"/>
      <c r="H118" s="95"/>
      <c r="I118" s="95"/>
      <c r="J118" s="95"/>
      <c r="K118" s="95"/>
    </row>
    <row r="119" spans="1:11" s="7" customFormat="1" ht="13.8">
      <c r="A119" s="21"/>
      <c r="B119" s="52" t="s">
        <v>205</v>
      </c>
      <c r="C119" s="25" t="s">
        <v>31</v>
      </c>
      <c r="D119" s="53">
        <f>D115</f>
        <v>5.6349999999999998</v>
      </c>
      <c r="E119" s="95"/>
      <c r="F119" s="95"/>
      <c r="G119" s="95"/>
      <c r="H119" s="95"/>
      <c r="I119" s="95"/>
      <c r="J119" s="95"/>
      <c r="K119" s="95"/>
    </row>
    <row r="120" spans="1:11" s="7" customFormat="1" ht="27.6">
      <c r="A120" s="21">
        <f>A115+1</f>
        <v>17</v>
      </c>
      <c r="B120" s="22" t="s">
        <v>87</v>
      </c>
      <c r="C120" s="21" t="s">
        <v>30</v>
      </c>
      <c r="D120" s="109">
        <v>65</v>
      </c>
      <c r="E120" s="107"/>
      <c r="F120" s="107"/>
      <c r="G120" s="107"/>
      <c r="H120" s="107"/>
      <c r="I120" s="107"/>
      <c r="J120" s="107"/>
      <c r="K120" s="107"/>
    </row>
    <row r="121" spans="1:11" s="7" customFormat="1" ht="13.8">
      <c r="A121" s="21"/>
      <c r="B121" s="52" t="s">
        <v>16</v>
      </c>
      <c r="C121" s="25" t="s">
        <v>30</v>
      </c>
      <c r="D121" s="53">
        <f>D120</f>
        <v>65</v>
      </c>
      <c r="E121" s="95"/>
      <c r="F121" s="95"/>
      <c r="G121" s="95"/>
      <c r="H121" s="95"/>
      <c r="I121" s="95"/>
      <c r="J121" s="95"/>
      <c r="K121" s="95"/>
    </row>
    <row r="122" spans="1:11" s="7" customFormat="1" ht="13.8">
      <c r="A122" s="21"/>
      <c r="B122" s="52" t="s">
        <v>6</v>
      </c>
      <c r="C122" s="25"/>
      <c r="D122" s="53"/>
      <c r="E122" s="95"/>
      <c r="F122" s="95"/>
      <c r="G122" s="95"/>
      <c r="H122" s="95"/>
      <c r="I122" s="95"/>
      <c r="J122" s="95"/>
      <c r="K122" s="95"/>
    </row>
    <row r="123" spans="1:11" s="7" customFormat="1" ht="13.8">
      <c r="A123" s="21"/>
      <c r="B123" s="52" t="s">
        <v>88</v>
      </c>
      <c r="C123" s="25" t="s">
        <v>30</v>
      </c>
      <c r="D123" s="53">
        <f>D120</f>
        <v>65</v>
      </c>
      <c r="E123" s="95"/>
      <c r="F123" s="95"/>
      <c r="G123" s="95"/>
      <c r="H123" s="95"/>
      <c r="I123" s="95"/>
      <c r="J123" s="95"/>
      <c r="K123" s="95"/>
    </row>
    <row r="124" spans="1:11" s="7" customFormat="1" ht="13.8">
      <c r="A124" s="21"/>
      <c r="B124" s="52" t="s">
        <v>90</v>
      </c>
      <c r="C124" s="25" t="s">
        <v>34</v>
      </c>
      <c r="D124" s="53">
        <v>10</v>
      </c>
      <c r="E124" s="95"/>
      <c r="F124" s="95"/>
      <c r="G124" s="95"/>
      <c r="H124" s="95"/>
      <c r="I124" s="95"/>
      <c r="J124" s="95"/>
      <c r="K124" s="95"/>
    </row>
    <row r="125" spans="1:11" s="7" customFormat="1" ht="13.8">
      <c r="A125" s="21"/>
      <c r="B125" s="52" t="s">
        <v>89</v>
      </c>
      <c r="C125" s="25" t="s">
        <v>34</v>
      </c>
      <c r="D125" s="53">
        <v>20</v>
      </c>
      <c r="E125" s="95"/>
      <c r="F125" s="95"/>
      <c r="G125" s="95"/>
      <c r="H125" s="95"/>
      <c r="I125" s="95"/>
      <c r="J125" s="95"/>
      <c r="K125" s="95"/>
    </row>
    <row r="126" spans="1:11" s="5" customFormat="1" ht="13.8">
      <c r="A126" s="21">
        <f>A120+1</f>
        <v>18</v>
      </c>
      <c r="B126" s="22" t="s">
        <v>93</v>
      </c>
      <c r="C126" s="21" t="s">
        <v>56</v>
      </c>
      <c r="D126" s="109">
        <f>98*0.5</f>
        <v>49</v>
      </c>
      <c r="E126" s="107"/>
      <c r="F126" s="107"/>
      <c r="G126" s="107"/>
      <c r="H126" s="107"/>
      <c r="I126" s="107"/>
      <c r="J126" s="107"/>
      <c r="K126" s="107"/>
    </row>
    <row r="127" spans="1:11" s="7" customFormat="1" ht="13.8">
      <c r="A127" s="21"/>
      <c r="B127" s="52" t="s">
        <v>16</v>
      </c>
      <c r="C127" s="25" t="s">
        <v>55</v>
      </c>
      <c r="D127" s="53">
        <f>D126</f>
        <v>49</v>
      </c>
      <c r="E127" s="95"/>
      <c r="F127" s="95"/>
      <c r="G127" s="95"/>
      <c r="H127" s="95"/>
      <c r="I127" s="95"/>
      <c r="J127" s="95"/>
      <c r="K127" s="95"/>
    </row>
    <row r="128" spans="1:11" s="7" customFormat="1" ht="13.8">
      <c r="A128" s="21"/>
      <c r="B128" s="52" t="s">
        <v>20</v>
      </c>
      <c r="C128" s="25" t="s">
        <v>21</v>
      </c>
      <c r="D128" s="53">
        <f>D127*0.11</f>
        <v>5.39</v>
      </c>
      <c r="E128" s="95"/>
      <c r="F128" s="95"/>
      <c r="G128" s="95"/>
      <c r="H128" s="95"/>
      <c r="I128" s="95"/>
      <c r="J128" s="95"/>
      <c r="K128" s="95"/>
    </row>
    <row r="129" spans="1:11" s="7" customFormat="1" ht="13.8">
      <c r="A129" s="21"/>
      <c r="B129" s="52" t="s">
        <v>17</v>
      </c>
      <c r="C129" s="25"/>
      <c r="D129" s="53"/>
      <c r="E129" s="95"/>
      <c r="F129" s="95"/>
      <c r="G129" s="95"/>
      <c r="H129" s="95"/>
      <c r="I129" s="95"/>
      <c r="J129" s="95"/>
      <c r="K129" s="95"/>
    </row>
    <row r="130" spans="1:11" s="7" customFormat="1" ht="13.8">
      <c r="A130" s="21"/>
      <c r="B130" s="52" t="s">
        <v>94</v>
      </c>
      <c r="C130" s="25" t="s">
        <v>55</v>
      </c>
      <c r="D130" s="53">
        <f>D126*1.22</f>
        <v>59.78</v>
      </c>
      <c r="E130" s="95"/>
      <c r="F130" s="95"/>
      <c r="G130" s="95"/>
      <c r="H130" s="95"/>
      <c r="I130" s="95"/>
      <c r="J130" s="95"/>
      <c r="K130" s="95"/>
    </row>
    <row r="131" spans="1:11" s="7" customFormat="1" ht="13.8">
      <c r="A131" s="21"/>
      <c r="B131" s="52" t="s">
        <v>91</v>
      </c>
      <c r="C131" s="25" t="s">
        <v>34</v>
      </c>
      <c r="D131" s="53">
        <f>D126*6</f>
        <v>294</v>
      </c>
      <c r="E131" s="95"/>
      <c r="F131" s="95"/>
      <c r="G131" s="95"/>
      <c r="H131" s="95"/>
      <c r="I131" s="95"/>
      <c r="J131" s="95"/>
      <c r="K131" s="95"/>
    </row>
    <row r="132" spans="1:11" s="7" customFormat="1" ht="13.8">
      <c r="A132" s="21"/>
      <c r="B132" s="52" t="s">
        <v>92</v>
      </c>
      <c r="C132" s="25" t="s">
        <v>51</v>
      </c>
      <c r="D132" s="53">
        <f>D126*2*0.05*0.05*1.1</f>
        <v>0.26950000000000007</v>
      </c>
      <c r="E132" s="95"/>
      <c r="F132" s="95"/>
      <c r="G132" s="95"/>
      <c r="H132" s="95"/>
      <c r="I132" s="95"/>
      <c r="J132" s="95"/>
      <c r="K132" s="95"/>
    </row>
    <row r="133" spans="1:11" s="7" customFormat="1" ht="13.8">
      <c r="A133" s="21"/>
      <c r="B133" s="52" t="s">
        <v>23</v>
      </c>
      <c r="C133" s="25" t="s">
        <v>21</v>
      </c>
      <c r="D133" s="53">
        <f>D126*0.23</f>
        <v>11.270000000000001</v>
      </c>
      <c r="E133" s="95"/>
      <c r="F133" s="95"/>
      <c r="G133" s="95"/>
      <c r="H133" s="95"/>
      <c r="I133" s="95"/>
      <c r="J133" s="95"/>
      <c r="K133" s="95"/>
    </row>
    <row r="134" spans="1:11" s="67" customFormat="1" ht="27.6">
      <c r="A134" s="21">
        <f>A126+1</f>
        <v>19</v>
      </c>
      <c r="B134" s="22" t="s">
        <v>96</v>
      </c>
      <c r="C134" s="21" t="s">
        <v>56</v>
      </c>
      <c r="D134" s="109">
        <f>97.25*0.6</f>
        <v>58.349999999999994</v>
      </c>
      <c r="E134" s="107"/>
      <c r="F134" s="107"/>
      <c r="G134" s="107"/>
      <c r="H134" s="107"/>
      <c r="I134" s="107"/>
      <c r="J134" s="107"/>
      <c r="K134" s="107"/>
    </row>
    <row r="135" spans="1:11" s="7" customFormat="1" ht="13.8">
      <c r="A135" s="21"/>
      <c r="B135" s="52" t="s">
        <v>16</v>
      </c>
      <c r="C135" s="25" t="s">
        <v>55</v>
      </c>
      <c r="D135" s="53">
        <f>D134</f>
        <v>58.349999999999994</v>
      </c>
      <c r="E135" s="95"/>
      <c r="F135" s="95"/>
      <c r="G135" s="95"/>
      <c r="H135" s="95"/>
      <c r="I135" s="95"/>
      <c r="J135" s="95"/>
      <c r="K135" s="95"/>
    </row>
    <row r="136" spans="1:11" s="7" customFormat="1" ht="13.8">
      <c r="A136" s="21"/>
      <c r="B136" s="52" t="s">
        <v>20</v>
      </c>
      <c r="C136" s="25" t="s">
        <v>21</v>
      </c>
      <c r="D136" s="53">
        <f>D135*0.11</f>
        <v>6.418499999999999</v>
      </c>
      <c r="E136" s="95"/>
      <c r="F136" s="95"/>
      <c r="G136" s="95"/>
      <c r="H136" s="95"/>
      <c r="I136" s="95"/>
      <c r="J136" s="95"/>
      <c r="K136" s="95"/>
    </row>
    <row r="137" spans="1:11" s="7" customFormat="1" ht="13.8">
      <c r="A137" s="21"/>
      <c r="B137" s="52" t="s">
        <v>17</v>
      </c>
      <c r="C137" s="25"/>
      <c r="D137" s="53"/>
      <c r="E137" s="95"/>
      <c r="F137" s="95"/>
      <c r="G137" s="95"/>
      <c r="H137" s="95"/>
      <c r="I137" s="95"/>
      <c r="J137" s="95"/>
      <c r="K137" s="95"/>
    </row>
    <row r="138" spans="1:11" s="7" customFormat="1" ht="13.8">
      <c r="A138" s="21"/>
      <c r="B138" s="52" t="s">
        <v>94</v>
      </c>
      <c r="C138" s="25" t="s">
        <v>55</v>
      </c>
      <c r="D138" s="53">
        <f>D134*1.22</f>
        <v>71.186999999999998</v>
      </c>
      <c r="E138" s="95"/>
      <c r="F138" s="95"/>
      <c r="G138" s="95"/>
      <c r="H138" s="95"/>
      <c r="I138" s="95"/>
      <c r="J138" s="95"/>
      <c r="K138" s="95"/>
    </row>
    <row r="139" spans="1:11" s="7" customFormat="1" ht="13.8">
      <c r="A139" s="21"/>
      <c r="B139" s="52" t="s">
        <v>91</v>
      </c>
      <c r="C139" s="25" t="s">
        <v>34</v>
      </c>
      <c r="D139" s="53">
        <f>D134*6</f>
        <v>350.09999999999997</v>
      </c>
      <c r="E139" s="95"/>
      <c r="F139" s="95"/>
      <c r="G139" s="95"/>
      <c r="H139" s="95"/>
      <c r="I139" s="95"/>
      <c r="J139" s="95"/>
      <c r="K139" s="95"/>
    </row>
    <row r="140" spans="1:11" s="7" customFormat="1" ht="13.8">
      <c r="A140" s="21"/>
      <c r="B140" s="52" t="s">
        <v>92</v>
      </c>
      <c r="C140" s="25" t="s">
        <v>51</v>
      </c>
      <c r="D140" s="53">
        <f>D134*2*0.05*0.05*1.1</f>
        <v>0.32092500000000002</v>
      </c>
      <c r="E140" s="95"/>
      <c r="F140" s="95"/>
      <c r="G140" s="95"/>
      <c r="H140" s="95"/>
      <c r="I140" s="95"/>
      <c r="J140" s="95"/>
      <c r="K140" s="95"/>
    </row>
    <row r="141" spans="1:11" s="7" customFormat="1" ht="13.8">
      <c r="A141" s="21"/>
      <c r="B141" s="52" t="s">
        <v>23</v>
      </c>
      <c r="C141" s="25" t="s">
        <v>21</v>
      </c>
      <c r="D141" s="53">
        <f>D134*0.23</f>
        <v>13.420499999999999</v>
      </c>
      <c r="E141" s="95"/>
      <c r="F141" s="95"/>
      <c r="G141" s="95"/>
      <c r="H141" s="95"/>
      <c r="I141" s="95"/>
      <c r="J141" s="95"/>
      <c r="K141" s="95"/>
    </row>
    <row r="142" spans="1:11" s="7" customFormat="1" ht="27.6">
      <c r="A142" s="21">
        <f>A134+1</f>
        <v>20</v>
      </c>
      <c r="B142" s="22" t="s">
        <v>207</v>
      </c>
      <c r="C142" s="21" t="s">
        <v>31</v>
      </c>
      <c r="D142" s="109">
        <v>10</v>
      </c>
      <c r="E142" s="107"/>
      <c r="F142" s="95"/>
      <c r="G142" s="107"/>
      <c r="H142" s="107"/>
      <c r="I142" s="107"/>
      <c r="J142" s="107"/>
      <c r="K142" s="95"/>
    </row>
    <row r="143" spans="1:11" s="7" customFormat="1" ht="13.8">
      <c r="A143" s="21"/>
      <c r="B143" s="52" t="s">
        <v>57</v>
      </c>
      <c r="C143" s="25" t="str">
        <f>C142</f>
        <v>მ²</v>
      </c>
      <c r="D143" s="53">
        <f>D142</f>
        <v>10</v>
      </c>
      <c r="E143" s="95"/>
      <c r="F143" s="95"/>
      <c r="G143" s="95"/>
      <c r="H143" s="95"/>
      <c r="I143" s="95"/>
      <c r="J143" s="95"/>
      <c r="K143" s="95"/>
    </row>
    <row r="144" spans="1:11" s="7" customFormat="1" ht="13.8">
      <c r="A144" s="21"/>
      <c r="B144" s="52" t="s">
        <v>20</v>
      </c>
      <c r="C144" s="25" t="s">
        <v>21</v>
      </c>
      <c r="D144" s="53">
        <f>D142*0.08</f>
        <v>0.8</v>
      </c>
      <c r="E144" s="95"/>
      <c r="F144" s="95"/>
      <c r="G144" s="95"/>
      <c r="H144" s="95"/>
      <c r="I144" s="95"/>
      <c r="J144" s="95"/>
      <c r="K144" s="95"/>
    </row>
    <row r="145" spans="1:11" s="7" customFormat="1" ht="13.8">
      <c r="A145" s="21"/>
      <c r="B145" s="52" t="s">
        <v>58</v>
      </c>
      <c r="C145" s="25"/>
      <c r="D145" s="53"/>
      <c r="E145" s="95"/>
      <c r="F145" s="95"/>
      <c r="G145" s="95"/>
      <c r="H145" s="95"/>
      <c r="I145" s="95"/>
      <c r="J145" s="95"/>
      <c r="K145" s="95"/>
    </row>
    <row r="146" spans="1:11" s="7" customFormat="1" ht="13.8">
      <c r="A146" s="21"/>
      <c r="B146" s="52" t="s">
        <v>208</v>
      </c>
      <c r="C146" s="25" t="s">
        <v>31</v>
      </c>
      <c r="D146" s="53">
        <f>D142*1.05</f>
        <v>10.5</v>
      </c>
      <c r="E146" s="95"/>
      <c r="F146" s="95"/>
      <c r="G146" s="95"/>
      <c r="H146" s="95"/>
      <c r="I146" s="95"/>
      <c r="J146" s="95"/>
      <c r="K146" s="95"/>
    </row>
    <row r="147" spans="1:11" s="7" customFormat="1" ht="13.8">
      <c r="A147" s="21"/>
      <c r="B147" s="52" t="s">
        <v>23</v>
      </c>
      <c r="C147" s="25" t="s">
        <v>21</v>
      </c>
      <c r="D147" s="53">
        <f>D142*0.4</f>
        <v>4</v>
      </c>
      <c r="E147" s="95"/>
      <c r="F147" s="95"/>
      <c r="G147" s="95"/>
      <c r="H147" s="95"/>
      <c r="I147" s="95"/>
      <c r="J147" s="95"/>
      <c r="K147" s="95"/>
    </row>
    <row r="148" spans="1:11" s="59" customFormat="1" ht="27.6">
      <c r="A148" s="27">
        <f>A142+1</f>
        <v>21</v>
      </c>
      <c r="B148" s="22" t="s">
        <v>225</v>
      </c>
      <c r="C148" s="21" t="s">
        <v>226</v>
      </c>
      <c r="D148" s="26">
        <v>15</v>
      </c>
      <c r="E148" s="102"/>
      <c r="F148" s="102"/>
      <c r="G148" s="102"/>
      <c r="H148" s="102"/>
      <c r="I148" s="102"/>
      <c r="J148" s="97"/>
      <c r="K148" s="103"/>
    </row>
    <row r="149" spans="1:11" s="59" customFormat="1">
      <c r="A149" s="27">
        <f>A148+1</f>
        <v>22</v>
      </c>
      <c r="B149" s="41" t="s">
        <v>35</v>
      </c>
      <c r="C149" s="21" t="s">
        <v>227</v>
      </c>
      <c r="D149" s="117">
        <v>240</v>
      </c>
      <c r="E149" s="102"/>
      <c r="F149" s="102"/>
      <c r="G149" s="102"/>
      <c r="H149" s="102"/>
      <c r="I149" s="102"/>
      <c r="J149" s="97"/>
      <c r="K149" s="103"/>
    </row>
    <row r="150" spans="1:11" s="59" customFormat="1">
      <c r="A150" s="56"/>
      <c r="B150" s="57" t="s">
        <v>37</v>
      </c>
      <c r="C150" s="58"/>
      <c r="D150" s="50"/>
      <c r="E150" s="107"/>
      <c r="F150" s="107">
        <f>SUM(F13:F147)</f>
        <v>0</v>
      </c>
      <c r="G150" s="107"/>
      <c r="H150" s="107">
        <f>SUM(H13:H147)</f>
        <v>0</v>
      </c>
      <c r="I150" s="107"/>
      <c r="J150" s="107">
        <f>SUM(J13:J147)</f>
        <v>0</v>
      </c>
      <c r="K150" s="107">
        <f>SUM(K13:K147)</f>
        <v>0</v>
      </c>
    </row>
    <row r="151" spans="1:11">
      <c r="A151" s="56"/>
      <c r="B151" s="57" t="s">
        <v>121</v>
      </c>
      <c r="C151" s="64"/>
      <c r="D151" s="50"/>
      <c r="E151" s="107"/>
      <c r="F151" s="107"/>
      <c r="G151" s="107"/>
      <c r="H151" s="107"/>
      <c r="I151" s="107"/>
      <c r="J151" s="107"/>
      <c r="K151" s="107">
        <f>K150*C151</f>
        <v>0</v>
      </c>
    </row>
    <row r="152" spans="1:11">
      <c r="A152" s="56"/>
      <c r="B152" s="57" t="s">
        <v>37</v>
      </c>
      <c r="C152" s="58"/>
      <c r="D152" s="50"/>
      <c r="E152" s="107"/>
      <c r="F152" s="107"/>
      <c r="G152" s="107"/>
      <c r="H152" s="107"/>
      <c r="I152" s="107"/>
      <c r="J152" s="107"/>
      <c r="K152" s="107">
        <f>SUM(K150:K151)</f>
        <v>0</v>
      </c>
    </row>
    <row r="153" spans="1:11">
      <c r="A153" s="56"/>
      <c r="B153" s="57" t="s">
        <v>38</v>
      </c>
      <c r="C153" s="60"/>
      <c r="D153" s="50"/>
      <c r="E153" s="107"/>
      <c r="F153" s="107"/>
      <c r="G153" s="107"/>
      <c r="H153" s="107"/>
      <c r="I153" s="107"/>
      <c r="J153" s="107"/>
      <c r="K153" s="107">
        <f>K152*C153</f>
        <v>0</v>
      </c>
    </row>
    <row r="154" spans="1:11">
      <c r="A154" s="56"/>
      <c r="B154" s="44" t="s">
        <v>37</v>
      </c>
      <c r="C154" s="61"/>
      <c r="D154" s="50"/>
      <c r="E154" s="107"/>
      <c r="F154" s="107"/>
      <c r="G154" s="107"/>
      <c r="H154" s="107"/>
      <c r="I154" s="107"/>
      <c r="J154" s="107"/>
      <c r="K154" s="107">
        <f>SUM(K152:K153)</f>
        <v>0</v>
      </c>
    </row>
    <row r="155" spans="1:11">
      <c r="A155" s="56"/>
      <c r="B155" s="44" t="s">
        <v>39</v>
      </c>
      <c r="C155" s="62"/>
      <c r="D155" s="50"/>
      <c r="E155" s="107"/>
      <c r="F155" s="107"/>
      <c r="G155" s="107"/>
      <c r="H155" s="107"/>
      <c r="I155" s="107"/>
      <c r="J155" s="107"/>
      <c r="K155" s="107">
        <f>K154*C155</f>
        <v>0</v>
      </c>
    </row>
    <row r="156" spans="1:11">
      <c r="A156" s="56"/>
      <c r="B156" s="44" t="s">
        <v>37</v>
      </c>
      <c r="C156" s="61"/>
      <c r="D156" s="50"/>
      <c r="E156" s="107"/>
      <c r="F156" s="107"/>
      <c r="G156" s="107"/>
      <c r="H156" s="107"/>
      <c r="I156" s="107"/>
      <c r="J156" s="107"/>
      <c r="K156" s="107">
        <f>SUM(K154:K155)</f>
        <v>0</v>
      </c>
    </row>
    <row r="157" spans="1:11">
      <c r="A157" s="56"/>
      <c r="B157" s="44" t="s">
        <v>40</v>
      </c>
      <c r="C157" s="63"/>
      <c r="D157" s="50"/>
      <c r="E157" s="107"/>
      <c r="F157" s="107"/>
      <c r="G157" s="107"/>
      <c r="H157" s="107"/>
      <c r="I157" s="107"/>
      <c r="J157" s="107"/>
      <c r="K157" s="107">
        <f>K156*C157</f>
        <v>0</v>
      </c>
    </row>
    <row r="158" spans="1:11">
      <c r="A158" s="56"/>
      <c r="B158" s="44" t="s">
        <v>37</v>
      </c>
      <c r="C158" s="61"/>
      <c r="D158" s="50"/>
      <c r="E158" s="107"/>
      <c r="F158" s="107"/>
      <c r="G158" s="107"/>
      <c r="H158" s="107"/>
      <c r="I158" s="107"/>
      <c r="J158" s="107"/>
      <c r="K158" s="107">
        <f>SUM(K156:K157)</f>
        <v>0</v>
      </c>
    </row>
    <row r="159" spans="1:11">
      <c r="A159" s="56"/>
      <c r="B159" s="44" t="s">
        <v>41</v>
      </c>
      <c r="C159" s="64"/>
      <c r="D159" s="50"/>
      <c r="E159" s="107"/>
      <c r="F159" s="107"/>
      <c r="G159" s="107"/>
      <c r="H159" s="107"/>
      <c r="I159" s="107"/>
      <c r="J159" s="107"/>
      <c r="K159" s="107">
        <f>K158*C159</f>
        <v>0</v>
      </c>
    </row>
    <row r="160" spans="1:11">
      <c r="A160" s="56"/>
      <c r="B160" s="44" t="s">
        <v>37</v>
      </c>
      <c r="C160" s="61"/>
      <c r="D160" s="50"/>
      <c r="E160" s="107"/>
      <c r="F160" s="107"/>
      <c r="G160" s="107"/>
      <c r="H160" s="107"/>
      <c r="I160" s="107"/>
      <c r="J160" s="107"/>
      <c r="K160" s="107">
        <f>SUM(K158:K159)</f>
        <v>0</v>
      </c>
    </row>
    <row r="162" spans="8:11">
      <c r="K162" s="94"/>
    </row>
    <row r="164" spans="8:11">
      <c r="H164" s="66"/>
    </row>
    <row r="165" spans="8:11">
      <c r="H165" s="66"/>
    </row>
    <row r="167" spans="8:11">
      <c r="K167" s="66"/>
    </row>
    <row r="168" spans="8:11">
      <c r="H168" s="66"/>
    </row>
  </sheetData>
  <mergeCells count="19">
    <mergeCell ref="A8:A11"/>
    <mergeCell ref="B8:B11"/>
    <mergeCell ref="C8:C11"/>
    <mergeCell ref="D8:D11"/>
    <mergeCell ref="E8:F9"/>
    <mergeCell ref="A1:K2"/>
    <mergeCell ref="A3:K3"/>
    <mergeCell ref="A4:K4"/>
    <mergeCell ref="G6:I6"/>
    <mergeCell ref="J6:K6"/>
    <mergeCell ref="G8:H9"/>
    <mergeCell ref="I8:J9"/>
    <mergeCell ref="K8:K11"/>
    <mergeCell ref="E10:E11"/>
    <mergeCell ref="F10:F11"/>
    <mergeCell ref="G10:G11"/>
    <mergeCell ref="H10:H11"/>
    <mergeCell ref="I10:I11"/>
    <mergeCell ref="J10:J11"/>
  </mergeCells>
  <pageMargins left="2.5000000000000001E-2" right="1.6666666666666666E-2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6BF4D-8BEA-44A0-9188-C51D6772257F}">
  <sheetPr>
    <tabColor rgb="FF92D050"/>
  </sheetPr>
  <dimension ref="A1:K150"/>
  <sheetViews>
    <sheetView zoomScaleNormal="100" workbookViewId="0">
      <selection activeCell="K12" sqref="K12"/>
    </sheetView>
  </sheetViews>
  <sheetFormatPr defaultColWidth="9.109375" defaultRowHeight="14.4"/>
  <cols>
    <col min="1" max="1" width="4.6640625" style="49" customWidth="1"/>
    <col min="2" max="2" width="38.109375" style="49" customWidth="1"/>
    <col min="3" max="3" width="6.6640625" style="49" customWidth="1"/>
    <col min="4" max="4" width="11" style="65" customWidth="1"/>
    <col min="5" max="5" width="10" style="49" customWidth="1"/>
    <col min="6" max="6" width="14.88671875" style="49" customWidth="1"/>
    <col min="7" max="7" width="10" style="49" customWidth="1"/>
    <col min="8" max="8" width="13.5546875" style="49" customWidth="1"/>
    <col min="9" max="9" width="9.109375" style="49" customWidth="1"/>
    <col min="10" max="10" width="11.44140625" style="49" customWidth="1"/>
    <col min="11" max="11" width="15.109375" style="49" customWidth="1"/>
    <col min="12" max="16384" width="9.109375" style="49"/>
  </cols>
  <sheetData>
    <row r="1" spans="1:11" s="9" customFormat="1">
      <c r="A1" s="138" t="str">
        <f>არქიტექტურა!A1</f>
        <v>Wendy ვარკეთილი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9" customForma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9" customFormat="1" ht="15.75" customHeight="1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s="9" customFormat="1" ht="17.25" customHeight="1">
      <c r="A4" s="139" t="s">
        <v>175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 s="9" customFormat="1">
      <c r="A5" s="68" t="s">
        <v>116</v>
      </c>
      <c r="B5" s="69" t="s">
        <v>117</v>
      </c>
      <c r="C5" s="10"/>
      <c r="D5" s="10"/>
      <c r="E5" s="10"/>
      <c r="F5" s="10"/>
      <c r="G5" s="10"/>
      <c r="H5" s="10"/>
      <c r="I5" s="10"/>
      <c r="J5" s="10"/>
      <c r="K5" s="10"/>
    </row>
    <row r="6" spans="1:11" s="13" customFormat="1" ht="13.8">
      <c r="A6" s="70" t="s">
        <v>118</v>
      </c>
      <c r="B6" s="71"/>
      <c r="C6" s="12"/>
      <c r="D6" s="12"/>
      <c r="E6" s="12"/>
      <c r="F6" s="12"/>
      <c r="G6" s="140" t="s">
        <v>1</v>
      </c>
      <c r="H6" s="140"/>
      <c r="I6" s="140"/>
      <c r="J6" s="140">
        <f>K142</f>
        <v>0</v>
      </c>
      <c r="K6" s="140"/>
    </row>
    <row r="7" spans="1:11" s="9" customFormat="1">
      <c r="A7" s="10"/>
      <c r="B7" s="11"/>
      <c r="C7" s="10"/>
      <c r="D7" s="10"/>
      <c r="E7" s="10"/>
      <c r="F7" s="10"/>
      <c r="G7" s="14"/>
      <c r="H7" s="14"/>
      <c r="I7" s="14"/>
      <c r="J7" s="14"/>
      <c r="K7" s="14"/>
    </row>
    <row r="8" spans="1:11" s="15" customFormat="1" ht="15.6">
      <c r="A8" s="129" t="s">
        <v>2</v>
      </c>
      <c r="B8" s="130" t="s">
        <v>3</v>
      </c>
      <c r="C8" s="133" t="s">
        <v>4</v>
      </c>
      <c r="D8" s="134" t="s">
        <v>5</v>
      </c>
      <c r="E8" s="137" t="s">
        <v>6</v>
      </c>
      <c r="F8" s="137"/>
      <c r="G8" s="137" t="s">
        <v>7</v>
      </c>
      <c r="H8" s="137"/>
      <c r="I8" s="141" t="s">
        <v>8</v>
      </c>
      <c r="J8" s="141"/>
      <c r="K8" s="137" t="s">
        <v>9</v>
      </c>
    </row>
    <row r="9" spans="1:11" s="15" customFormat="1" ht="15.6">
      <c r="A9" s="129"/>
      <c r="B9" s="131"/>
      <c r="C9" s="133"/>
      <c r="D9" s="135"/>
      <c r="E9" s="137"/>
      <c r="F9" s="137"/>
      <c r="G9" s="137"/>
      <c r="H9" s="137"/>
      <c r="I9" s="141"/>
      <c r="J9" s="141"/>
      <c r="K9" s="137"/>
    </row>
    <row r="10" spans="1:11" s="15" customFormat="1" ht="15.6">
      <c r="A10" s="129"/>
      <c r="B10" s="131"/>
      <c r="C10" s="133"/>
      <c r="D10" s="135"/>
      <c r="E10" s="134" t="s">
        <v>10</v>
      </c>
      <c r="F10" s="137" t="s">
        <v>5</v>
      </c>
      <c r="G10" s="134" t="s">
        <v>10</v>
      </c>
      <c r="H10" s="137" t="s">
        <v>5</v>
      </c>
      <c r="I10" s="134" t="s">
        <v>10</v>
      </c>
      <c r="J10" s="137" t="s">
        <v>5</v>
      </c>
      <c r="K10" s="137"/>
    </row>
    <row r="11" spans="1:11" s="15" customFormat="1" ht="15.6">
      <c r="A11" s="129"/>
      <c r="B11" s="132"/>
      <c r="C11" s="133"/>
      <c r="D11" s="136"/>
      <c r="E11" s="136"/>
      <c r="F11" s="137"/>
      <c r="G11" s="136"/>
      <c r="H11" s="137"/>
      <c r="I11" s="136"/>
      <c r="J11" s="137"/>
      <c r="K11" s="137"/>
    </row>
    <row r="12" spans="1:11" s="20" customFormat="1" ht="13.8">
      <c r="A12" s="16"/>
      <c r="B12" s="16" t="s">
        <v>49</v>
      </c>
      <c r="C12" s="16"/>
      <c r="D12" s="17"/>
      <c r="E12" s="18"/>
      <c r="F12" s="18"/>
      <c r="G12" s="18"/>
      <c r="H12" s="18"/>
      <c r="I12" s="18"/>
      <c r="J12" s="18"/>
      <c r="K12" s="19"/>
    </row>
    <row r="13" spans="1:11" s="20" customFormat="1" ht="13.8">
      <c r="A13" s="21">
        <v>1</v>
      </c>
      <c r="B13" s="22" t="s">
        <v>11</v>
      </c>
      <c r="C13" s="21" t="s">
        <v>12</v>
      </c>
      <c r="D13" s="109">
        <v>2615</v>
      </c>
      <c r="E13" s="95"/>
      <c r="F13" s="95"/>
      <c r="G13" s="95"/>
      <c r="H13" s="95"/>
      <c r="I13" s="95"/>
      <c r="J13" s="95"/>
      <c r="K13" s="96"/>
    </row>
    <row r="14" spans="1:11" s="29" customFormat="1" ht="13.8">
      <c r="A14" s="27"/>
      <c r="B14" s="24" t="s">
        <v>13</v>
      </c>
      <c r="C14" s="25" t="s">
        <v>12</v>
      </c>
      <c r="D14" s="114">
        <f>D13</f>
        <v>2615</v>
      </c>
      <c r="E14" s="97"/>
      <c r="F14" s="97"/>
      <c r="G14" s="97"/>
      <c r="H14" s="97"/>
      <c r="I14" s="97"/>
      <c r="J14" s="97"/>
      <c r="K14" s="96"/>
    </row>
    <row r="15" spans="1:11" s="29" customFormat="1" ht="27.6">
      <c r="A15" s="27">
        <f>A13+1</f>
        <v>2</v>
      </c>
      <c r="B15" s="22" t="s">
        <v>15</v>
      </c>
      <c r="C15" s="21" t="s">
        <v>12</v>
      </c>
      <c r="D15" s="112">
        <f>D13*5%</f>
        <v>130.75</v>
      </c>
      <c r="E15" s="97"/>
      <c r="F15" s="97"/>
      <c r="G15" s="97"/>
      <c r="H15" s="97"/>
      <c r="I15" s="97"/>
      <c r="J15" s="97"/>
      <c r="K15" s="96"/>
    </row>
    <row r="16" spans="1:11" s="29" customFormat="1" ht="13.8">
      <c r="A16" s="27"/>
      <c r="B16" s="24" t="s">
        <v>16</v>
      </c>
      <c r="C16" s="25" t="s">
        <v>12</v>
      </c>
      <c r="D16" s="114">
        <f>D15</f>
        <v>130.75</v>
      </c>
      <c r="E16" s="97"/>
      <c r="F16" s="97"/>
      <c r="G16" s="97"/>
      <c r="H16" s="97"/>
      <c r="I16" s="97"/>
      <c r="J16" s="97"/>
      <c r="K16" s="96"/>
    </row>
    <row r="17" spans="1:11" s="29" customFormat="1" ht="13.8">
      <c r="A17" s="21">
        <f>A15+1</f>
        <v>3</v>
      </c>
      <c r="B17" s="22" t="s">
        <v>14</v>
      </c>
      <c r="C17" s="21" t="s">
        <v>12</v>
      </c>
      <c r="D17" s="109">
        <f>D13+D15</f>
        <v>2745.75</v>
      </c>
      <c r="E17" s="95"/>
      <c r="F17" s="95"/>
      <c r="G17" s="95"/>
      <c r="H17" s="95"/>
      <c r="I17" s="95"/>
      <c r="J17" s="95"/>
      <c r="K17" s="96"/>
    </row>
    <row r="18" spans="1:11" s="29" customFormat="1" ht="27.6">
      <c r="A18" s="21">
        <f>A17+1</f>
        <v>4</v>
      </c>
      <c r="B18" s="22" t="s">
        <v>206</v>
      </c>
      <c r="C18" s="21" t="s">
        <v>12</v>
      </c>
      <c r="D18" s="109">
        <f>896</f>
        <v>896</v>
      </c>
      <c r="E18" s="95"/>
      <c r="F18" s="95"/>
      <c r="G18" s="95"/>
      <c r="H18" s="95"/>
      <c r="I18" s="95"/>
      <c r="J18" s="95"/>
      <c r="K18" s="96"/>
    </row>
    <row r="19" spans="1:11" s="29" customFormat="1" ht="13.8">
      <c r="A19" s="27"/>
      <c r="B19" s="24" t="s">
        <v>16</v>
      </c>
      <c r="C19" s="25" t="s">
        <v>12</v>
      </c>
      <c r="D19" s="114">
        <f>D18</f>
        <v>896</v>
      </c>
      <c r="E19" s="97"/>
      <c r="F19" s="97"/>
      <c r="G19" s="97"/>
      <c r="H19" s="97"/>
      <c r="I19" s="97"/>
      <c r="J19" s="97"/>
      <c r="K19" s="96"/>
    </row>
    <row r="20" spans="1:11" s="29" customFormat="1" ht="13.8">
      <c r="A20" s="27"/>
      <c r="B20" s="24" t="s">
        <v>8</v>
      </c>
      <c r="C20" s="25" t="s">
        <v>12</v>
      </c>
      <c r="D20" s="114">
        <f>D18</f>
        <v>896</v>
      </c>
      <c r="E20" s="97"/>
      <c r="F20" s="97"/>
      <c r="G20" s="97"/>
      <c r="H20" s="97"/>
      <c r="I20" s="97"/>
      <c r="J20" s="97"/>
      <c r="K20" s="96"/>
    </row>
    <row r="21" spans="1:11" s="29" customFormat="1" ht="13.8">
      <c r="A21" s="27"/>
      <c r="B21" s="24" t="s">
        <v>17</v>
      </c>
      <c r="C21" s="25"/>
      <c r="D21" s="114"/>
      <c r="E21" s="97"/>
      <c r="F21" s="97"/>
      <c r="G21" s="97"/>
      <c r="H21" s="97"/>
      <c r="I21" s="97"/>
      <c r="J21" s="97"/>
      <c r="K21" s="96"/>
    </row>
    <row r="22" spans="1:11" s="29" customFormat="1" ht="13.8">
      <c r="A22" s="27"/>
      <c r="B22" s="24" t="s">
        <v>179</v>
      </c>
      <c r="C22" s="25" t="s">
        <v>12</v>
      </c>
      <c r="D22" s="114">
        <f>D18*1.22</f>
        <v>1093.1199999999999</v>
      </c>
      <c r="E22" s="97"/>
      <c r="F22" s="97"/>
      <c r="G22" s="97"/>
      <c r="H22" s="97"/>
      <c r="I22" s="97"/>
      <c r="J22" s="97"/>
      <c r="K22" s="96"/>
    </row>
    <row r="23" spans="1:11" s="32" customFormat="1" ht="15.6">
      <c r="A23" s="21"/>
      <c r="B23" s="116" t="s">
        <v>176</v>
      </c>
      <c r="C23" s="21"/>
      <c r="D23" s="109"/>
      <c r="E23" s="95"/>
      <c r="F23" s="95"/>
      <c r="G23" s="95"/>
      <c r="H23" s="95"/>
      <c r="I23" s="95"/>
      <c r="J23" s="95"/>
      <c r="K23" s="96"/>
    </row>
    <row r="24" spans="1:11" s="31" customFormat="1" ht="27.6">
      <c r="A24" s="21">
        <f>A18+1</f>
        <v>5</v>
      </c>
      <c r="B24" s="22" t="s">
        <v>177</v>
      </c>
      <c r="C24" s="21" t="s">
        <v>12</v>
      </c>
      <c r="D24" s="109">
        <f>1003*0.45</f>
        <v>451.35</v>
      </c>
      <c r="E24" s="95"/>
      <c r="F24" s="95"/>
      <c r="G24" s="95"/>
      <c r="H24" s="95"/>
      <c r="I24" s="95"/>
      <c r="J24" s="95"/>
      <c r="K24" s="96"/>
    </row>
    <row r="25" spans="1:11" s="32" customFormat="1" ht="13.8">
      <c r="A25" s="27"/>
      <c r="B25" s="24" t="s">
        <v>16</v>
      </c>
      <c r="C25" s="25" t="s">
        <v>12</v>
      </c>
      <c r="D25" s="114">
        <f>D24</f>
        <v>451.35</v>
      </c>
      <c r="E25" s="97"/>
      <c r="F25" s="97"/>
      <c r="G25" s="97"/>
      <c r="H25" s="97"/>
      <c r="I25" s="97"/>
      <c r="J25" s="97"/>
      <c r="K25" s="96"/>
    </row>
    <row r="26" spans="1:11" s="32" customFormat="1" ht="13.8">
      <c r="A26" s="27"/>
      <c r="B26" s="24" t="s">
        <v>8</v>
      </c>
      <c r="C26" s="25" t="s">
        <v>12</v>
      </c>
      <c r="D26" s="114">
        <f>D24</f>
        <v>451.35</v>
      </c>
      <c r="E26" s="97"/>
      <c r="F26" s="97"/>
      <c r="G26" s="97"/>
      <c r="H26" s="97"/>
      <c r="I26" s="97"/>
      <c r="J26" s="97"/>
      <c r="K26" s="96"/>
    </row>
    <row r="27" spans="1:11" s="32" customFormat="1" ht="13.8">
      <c r="A27" s="27"/>
      <c r="B27" s="24" t="s">
        <v>17</v>
      </c>
      <c r="C27" s="25"/>
      <c r="D27" s="114"/>
      <c r="E27" s="97"/>
      <c r="F27" s="97"/>
      <c r="G27" s="97"/>
      <c r="H27" s="97"/>
      <c r="I27" s="97"/>
      <c r="J27" s="97"/>
      <c r="K27" s="96"/>
    </row>
    <row r="28" spans="1:11" s="32" customFormat="1" ht="13.8">
      <c r="A28" s="27"/>
      <c r="B28" s="24" t="s">
        <v>179</v>
      </c>
      <c r="C28" s="25" t="s">
        <v>12</v>
      </c>
      <c r="D28" s="114">
        <f>D24*1.22</f>
        <v>550.64700000000005</v>
      </c>
      <c r="E28" s="97"/>
      <c r="F28" s="97"/>
      <c r="G28" s="97"/>
      <c r="H28" s="97"/>
      <c r="I28" s="97"/>
      <c r="J28" s="97"/>
      <c r="K28" s="96"/>
    </row>
    <row r="29" spans="1:11" s="32" customFormat="1" ht="27.6">
      <c r="A29" s="21">
        <f>A24+1</f>
        <v>6</v>
      </c>
      <c r="B29" s="22" t="s">
        <v>178</v>
      </c>
      <c r="C29" s="21" t="s">
        <v>12</v>
      </c>
      <c r="D29" s="109">
        <f>1003*0.35</f>
        <v>351.04999999999995</v>
      </c>
      <c r="E29" s="95"/>
      <c r="F29" s="95"/>
      <c r="G29" s="95"/>
      <c r="H29" s="95"/>
      <c r="I29" s="95"/>
      <c r="J29" s="95"/>
      <c r="K29" s="96"/>
    </row>
    <row r="30" spans="1:11" s="32" customFormat="1" ht="13.8">
      <c r="A30" s="27"/>
      <c r="B30" s="24" t="s">
        <v>16</v>
      </c>
      <c r="C30" s="25" t="s">
        <v>12</v>
      </c>
      <c r="D30" s="114">
        <f>D29</f>
        <v>351.04999999999995</v>
      </c>
      <c r="E30" s="97"/>
      <c r="F30" s="97"/>
      <c r="G30" s="97"/>
      <c r="H30" s="97"/>
      <c r="I30" s="97"/>
      <c r="J30" s="97"/>
      <c r="K30" s="96"/>
    </row>
    <row r="31" spans="1:11" s="32" customFormat="1" ht="13.8">
      <c r="A31" s="27"/>
      <c r="B31" s="24" t="s">
        <v>8</v>
      </c>
      <c r="C31" s="25" t="s">
        <v>12</v>
      </c>
      <c r="D31" s="114">
        <f>D29</f>
        <v>351.04999999999995</v>
      </c>
      <c r="E31" s="97"/>
      <c r="F31" s="97"/>
      <c r="G31" s="97"/>
      <c r="H31" s="97"/>
      <c r="I31" s="97"/>
      <c r="J31" s="97"/>
      <c r="K31" s="96"/>
    </row>
    <row r="32" spans="1:11" s="32" customFormat="1" ht="13.8">
      <c r="A32" s="27"/>
      <c r="B32" s="24" t="s">
        <v>17</v>
      </c>
      <c r="C32" s="25"/>
      <c r="D32" s="114"/>
      <c r="E32" s="97"/>
      <c r="F32" s="97"/>
      <c r="G32" s="97"/>
      <c r="H32" s="97"/>
      <c r="I32" s="97"/>
      <c r="J32" s="97"/>
      <c r="K32" s="96"/>
    </row>
    <row r="33" spans="1:11" s="32" customFormat="1" ht="13.8">
      <c r="A33" s="27"/>
      <c r="B33" s="24" t="s">
        <v>18</v>
      </c>
      <c r="C33" s="25" t="s">
        <v>12</v>
      </c>
      <c r="D33" s="114">
        <f>D29*1.22</f>
        <v>428.28099999999995</v>
      </c>
      <c r="E33" s="97"/>
      <c r="F33" s="97"/>
      <c r="G33" s="97"/>
      <c r="H33" s="97"/>
      <c r="I33" s="97"/>
      <c r="J33" s="97"/>
      <c r="K33" s="96"/>
    </row>
    <row r="34" spans="1:11" s="32" customFormat="1" ht="13.8">
      <c r="A34" s="21">
        <f>A29+1</f>
        <v>7</v>
      </c>
      <c r="B34" s="22" t="s">
        <v>180</v>
      </c>
      <c r="C34" s="21" t="s">
        <v>132</v>
      </c>
      <c r="D34" s="109">
        <v>0.6</v>
      </c>
      <c r="E34" s="95"/>
      <c r="F34" s="95"/>
      <c r="G34" s="95"/>
      <c r="H34" s="95"/>
      <c r="I34" s="95"/>
      <c r="J34" s="95"/>
      <c r="K34" s="96"/>
    </row>
    <row r="35" spans="1:11" s="32" customFormat="1" ht="13.8">
      <c r="A35" s="27"/>
      <c r="B35" s="24" t="s">
        <v>16</v>
      </c>
      <c r="C35" s="25" t="s">
        <v>31</v>
      </c>
      <c r="D35" s="114">
        <f>D34</f>
        <v>0.6</v>
      </c>
      <c r="E35" s="97"/>
      <c r="F35" s="97"/>
      <c r="G35" s="97"/>
      <c r="H35" s="97"/>
      <c r="I35" s="97"/>
      <c r="J35" s="97"/>
      <c r="K35" s="96"/>
    </row>
    <row r="36" spans="1:11" s="32" customFormat="1" ht="13.8">
      <c r="A36" s="27"/>
      <c r="B36" s="24" t="s">
        <v>8</v>
      </c>
      <c r="C36" s="25" t="str">
        <f>C35</f>
        <v>მ²</v>
      </c>
      <c r="D36" s="114">
        <f>D34</f>
        <v>0.6</v>
      </c>
      <c r="E36" s="97"/>
      <c r="F36" s="97"/>
      <c r="G36" s="97"/>
      <c r="H36" s="97"/>
      <c r="I36" s="97"/>
      <c r="J36" s="97"/>
      <c r="K36" s="96"/>
    </row>
    <row r="37" spans="1:11" s="32" customFormat="1" ht="13.8">
      <c r="A37" s="27"/>
      <c r="B37" s="24" t="s">
        <v>17</v>
      </c>
      <c r="C37" s="25"/>
      <c r="D37" s="114"/>
      <c r="E37" s="97"/>
      <c r="F37" s="97"/>
      <c r="G37" s="97"/>
      <c r="H37" s="97"/>
      <c r="I37" s="97"/>
      <c r="J37" s="97"/>
      <c r="K37" s="96"/>
    </row>
    <row r="38" spans="1:11" s="32" customFormat="1" ht="13.8">
      <c r="A38" s="27"/>
      <c r="B38" s="24" t="s">
        <v>181</v>
      </c>
      <c r="C38" s="25" t="s">
        <v>132</v>
      </c>
      <c r="D38" s="114">
        <f>D34</f>
        <v>0.6</v>
      </c>
      <c r="E38" s="97"/>
      <c r="F38" s="97"/>
      <c r="G38" s="97"/>
      <c r="H38" s="97"/>
      <c r="I38" s="97"/>
      <c r="J38" s="97"/>
      <c r="K38" s="96"/>
    </row>
    <row r="39" spans="1:11" s="32" customFormat="1" ht="27.6">
      <c r="A39" s="21">
        <f>A34+1</f>
        <v>8</v>
      </c>
      <c r="B39" s="22" t="s">
        <v>182</v>
      </c>
      <c r="C39" s="115" t="s">
        <v>31</v>
      </c>
      <c r="D39" s="109">
        <v>1003</v>
      </c>
      <c r="E39" s="95"/>
      <c r="F39" s="95"/>
      <c r="G39" s="95"/>
      <c r="H39" s="95"/>
      <c r="I39" s="95"/>
      <c r="J39" s="95"/>
      <c r="K39" s="96"/>
    </row>
    <row r="40" spans="1:11" s="32" customFormat="1" ht="13.8">
      <c r="A40" s="27"/>
      <c r="B40" s="24" t="s">
        <v>16</v>
      </c>
      <c r="C40" s="25" t="s">
        <v>31</v>
      </c>
      <c r="D40" s="114">
        <f>D39</f>
        <v>1003</v>
      </c>
      <c r="E40" s="97"/>
      <c r="F40" s="97"/>
      <c r="G40" s="97"/>
      <c r="H40" s="97"/>
      <c r="I40" s="97"/>
      <c r="J40" s="97"/>
      <c r="K40" s="96"/>
    </row>
    <row r="41" spans="1:11" s="32" customFormat="1" ht="13.8">
      <c r="A41" s="27"/>
      <c r="B41" s="24" t="s">
        <v>8</v>
      </c>
      <c r="C41" s="25" t="s">
        <v>21</v>
      </c>
      <c r="D41" s="114">
        <f>D39</f>
        <v>1003</v>
      </c>
      <c r="E41" s="97"/>
      <c r="F41" s="97"/>
      <c r="G41" s="97"/>
      <c r="H41" s="97"/>
      <c r="I41" s="97"/>
      <c r="J41" s="97"/>
      <c r="K41" s="96"/>
    </row>
    <row r="42" spans="1:11" s="32" customFormat="1" ht="13.8">
      <c r="A42" s="27"/>
      <c r="B42" s="24" t="s">
        <v>17</v>
      </c>
      <c r="C42" s="25"/>
      <c r="D42" s="114"/>
      <c r="E42" s="97"/>
      <c r="F42" s="97"/>
      <c r="G42" s="97"/>
      <c r="H42" s="97"/>
      <c r="I42" s="97"/>
      <c r="J42" s="97"/>
      <c r="K42" s="96"/>
    </row>
    <row r="43" spans="1:11" s="32" customFormat="1" ht="13.8">
      <c r="A43" s="27"/>
      <c r="B43" s="24" t="s">
        <v>114</v>
      </c>
      <c r="C43" s="25" t="str">
        <f>C40</f>
        <v>მ²</v>
      </c>
      <c r="D43" s="114">
        <f>D39</f>
        <v>1003</v>
      </c>
      <c r="E43" s="97"/>
      <c r="F43" s="97"/>
      <c r="G43" s="97"/>
      <c r="H43" s="97"/>
      <c r="I43" s="97"/>
      <c r="J43" s="97"/>
      <c r="K43" s="96"/>
    </row>
    <row r="44" spans="1:11" s="32" customFormat="1" ht="13.8">
      <c r="A44" s="45"/>
      <c r="B44" s="46" t="s">
        <v>23</v>
      </c>
      <c r="C44" s="47" t="s">
        <v>21</v>
      </c>
      <c r="D44" s="48">
        <f>D39*0.16</f>
        <v>160.47999999999999</v>
      </c>
      <c r="E44" s="106"/>
      <c r="F44" s="97"/>
      <c r="G44" s="106"/>
      <c r="H44" s="97"/>
      <c r="I44" s="106"/>
      <c r="J44" s="97"/>
      <c r="K44" s="106"/>
    </row>
    <row r="45" spans="1:11" s="32" customFormat="1" ht="13.8">
      <c r="A45" s="21">
        <f>A39+1</f>
        <v>9</v>
      </c>
      <c r="B45" s="22" t="s">
        <v>180</v>
      </c>
      <c r="C45" s="21" t="s">
        <v>132</v>
      </c>
      <c r="D45" s="109">
        <f>1003*0.6/1000</f>
        <v>0.6018</v>
      </c>
      <c r="E45" s="95"/>
      <c r="F45" s="95"/>
      <c r="G45" s="95"/>
      <c r="H45" s="95"/>
      <c r="I45" s="95"/>
      <c r="J45" s="95"/>
      <c r="K45" s="96"/>
    </row>
    <row r="46" spans="1:11" s="32" customFormat="1" ht="13.8">
      <c r="A46" s="27"/>
      <c r="B46" s="24" t="s">
        <v>16</v>
      </c>
      <c r="C46" s="25" t="s">
        <v>31</v>
      </c>
      <c r="D46" s="114">
        <f>D45</f>
        <v>0.6018</v>
      </c>
      <c r="E46" s="97"/>
      <c r="F46" s="97"/>
      <c r="G46" s="97"/>
      <c r="H46" s="97"/>
      <c r="I46" s="97"/>
      <c r="J46" s="97"/>
      <c r="K46" s="96"/>
    </row>
    <row r="47" spans="1:11" s="32" customFormat="1" ht="13.8">
      <c r="A47" s="27"/>
      <c r="B47" s="24" t="s">
        <v>8</v>
      </c>
      <c r="C47" s="25" t="str">
        <f>C46</f>
        <v>მ²</v>
      </c>
      <c r="D47" s="114">
        <f>D45</f>
        <v>0.6018</v>
      </c>
      <c r="E47" s="97"/>
      <c r="F47" s="97"/>
      <c r="G47" s="97"/>
      <c r="H47" s="97"/>
      <c r="I47" s="97"/>
      <c r="J47" s="97"/>
      <c r="K47" s="96"/>
    </row>
    <row r="48" spans="1:11" s="32" customFormat="1" ht="13.8">
      <c r="A48" s="27"/>
      <c r="B48" s="24" t="s">
        <v>17</v>
      </c>
      <c r="C48" s="25"/>
      <c r="D48" s="114"/>
      <c r="E48" s="97"/>
      <c r="F48" s="97"/>
      <c r="G48" s="97"/>
      <c r="H48" s="97"/>
      <c r="I48" s="97"/>
      <c r="J48" s="97"/>
      <c r="K48" s="96"/>
    </row>
    <row r="49" spans="1:11" s="32" customFormat="1" ht="13.8">
      <c r="A49" s="27"/>
      <c r="B49" s="24" t="s">
        <v>181</v>
      </c>
      <c r="C49" s="25" t="s">
        <v>132</v>
      </c>
      <c r="D49" s="114">
        <f>D45</f>
        <v>0.6018</v>
      </c>
      <c r="E49" s="97"/>
      <c r="F49" s="97"/>
      <c r="G49" s="97"/>
      <c r="H49" s="97"/>
      <c r="I49" s="97"/>
      <c r="J49" s="97"/>
      <c r="K49" s="96"/>
    </row>
    <row r="50" spans="1:11" s="32" customFormat="1" ht="27.6">
      <c r="A50" s="21">
        <f>A45+1</f>
        <v>10</v>
      </c>
      <c r="B50" s="22" t="s">
        <v>182</v>
      </c>
      <c r="C50" s="115" t="s">
        <v>31</v>
      </c>
      <c r="D50" s="109">
        <v>1003</v>
      </c>
      <c r="E50" s="95"/>
      <c r="F50" s="95"/>
      <c r="G50" s="95"/>
      <c r="H50" s="95"/>
      <c r="I50" s="95"/>
      <c r="J50" s="95"/>
      <c r="K50" s="96"/>
    </row>
    <row r="51" spans="1:11" s="32" customFormat="1" ht="13.8">
      <c r="A51" s="27"/>
      <c r="B51" s="24" t="s">
        <v>16</v>
      </c>
      <c r="C51" s="25" t="s">
        <v>31</v>
      </c>
      <c r="D51" s="114">
        <f>D50</f>
        <v>1003</v>
      </c>
      <c r="E51" s="97"/>
      <c r="F51" s="97"/>
      <c r="G51" s="97"/>
      <c r="H51" s="97"/>
      <c r="I51" s="97"/>
      <c r="J51" s="97"/>
      <c r="K51" s="96"/>
    </row>
    <row r="52" spans="1:11" s="32" customFormat="1" ht="13.8">
      <c r="A52" s="27"/>
      <c r="B52" s="24" t="s">
        <v>8</v>
      </c>
      <c r="C52" s="25" t="s">
        <v>21</v>
      </c>
      <c r="D52" s="114">
        <f>D50</f>
        <v>1003</v>
      </c>
      <c r="E52" s="97"/>
      <c r="F52" s="97"/>
      <c r="G52" s="97"/>
      <c r="H52" s="97"/>
      <c r="I52" s="97"/>
      <c r="J52" s="97"/>
      <c r="K52" s="96"/>
    </row>
    <row r="53" spans="1:11" s="32" customFormat="1" ht="13.8">
      <c r="A53" s="27"/>
      <c r="B53" s="24" t="s">
        <v>17</v>
      </c>
      <c r="C53" s="25"/>
      <c r="D53" s="114"/>
      <c r="E53" s="97"/>
      <c r="F53" s="97"/>
      <c r="G53" s="97"/>
      <c r="H53" s="97"/>
      <c r="I53" s="97"/>
      <c r="J53" s="97"/>
      <c r="K53" s="96"/>
    </row>
    <row r="54" spans="1:11" s="32" customFormat="1" ht="13.8">
      <c r="A54" s="27"/>
      <c r="B54" s="24" t="s">
        <v>114</v>
      </c>
      <c r="C54" s="25" t="s">
        <v>132</v>
      </c>
      <c r="D54" s="114">
        <f>145.2*D50/1000</f>
        <v>145.63559999999998</v>
      </c>
      <c r="E54" s="97"/>
      <c r="F54" s="97"/>
      <c r="G54" s="97"/>
      <c r="H54" s="97"/>
      <c r="I54" s="97"/>
      <c r="J54" s="97"/>
      <c r="K54" s="96"/>
    </row>
    <row r="55" spans="1:11" s="32" customFormat="1" ht="13.8">
      <c r="A55" s="45"/>
      <c r="B55" s="46" t="s">
        <v>23</v>
      </c>
      <c r="C55" s="47" t="s">
        <v>21</v>
      </c>
      <c r="D55" s="48">
        <f>D50*0.16</f>
        <v>160.47999999999999</v>
      </c>
      <c r="E55" s="106"/>
      <c r="F55" s="97"/>
      <c r="G55" s="106"/>
      <c r="H55" s="97"/>
      <c r="I55" s="106"/>
      <c r="J55" s="97"/>
      <c r="K55" s="106"/>
    </row>
    <row r="56" spans="1:11" s="32" customFormat="1" ht="13.8">
      <c r="A56" s="21">
        <f>A50+1</f>
        <v>11</v>
      </c>
      <c r="B56" s="22" t="s">
        <v>183</v>
      </c>
      <c r="C56" s="21" t="s">
        <v>132</v>
      </c>
      <c r="D56" s="109">
        <f>1003*0.3/1000</f>
        <v>0.3009</v>
      </c>
      <c r="E56" s="95"/>
      <c r="F56" s="95"/>
      <c r="G56" s="95"/>
      <c r="H56" s="95"/>
      <c r="I56" s="95"/>
      <c r="J56" s="95"/>
      <c r="K56" s="96"/>
    </row>
    <row r="57" spans="1:11" s="32" customFormat="1" ht="13.8">
      <c r="A57" s="27"/>
      <c r="B57" s="24" t="s">
        <v>16</v>
      </c>
      <c r="C57" s="25" t="s">
        <v>31</v>
      </c>
      <c r="D57" s="114">
        <f>D56</f>
        <v>0.3009</v>
      </c>
      <c r="E57" s="97"/>
      <c r="F57" s="97"/>
      <c r="G57" s="97"/>
      <c r="H57" s="97"/>
      <c r="I57" s="97"/>
      <c r="J57" s="97"/>
      <c r="K57" s="96"/>
    </row>
    <row r="58" spans="1:11" s="32" customFormat="1" ht="13.8">
      <c r="A58" s="27"/>
      <c r="B58" s="24" t="s">
        <v>8</v>
      </c>
      <c r="C58" s="25" t="str">
        <f>C57</f>
        <v>მ²</v>
      </c>
      <c r="D58" s="114">
        <f>D56</f>
        <v>0.3009</v>
      </c>
      <c r="E58" s="97"/>
      <c r="F58" s="97"/>
      <c r="G58" s="97"/>
      <c r="H58" s="97"/>
      <c r="I58" s="97"/>
      <c r="J58" s="97"/>
      <c r="K58" s="96"/>
    </row>
    <row r="59" spans="1:11" s="32" customFormat="1" ht="13.8">
      <c r="A59" s="27"/>
      <c r="B59" s="24" t="s">
        <v>17</v>
      </c>
      <c r="C59" s="25"/>
      <c r="D59" s="114"/>
      <c r="E59" s="97"/>
      <c r="F59" s="97"/>
      <c r="G59" s="97"/>
      <c r="H59" s="97"/>
      <c r="I59" s="97"/>
      <c r="J59" s="97"/>
      <c r="K59" s="96"/>
    </row>
    <row r="60" spans="1:11" s="32" customFormat="1" ht="13.8">
      <c r="A60" s="27"/>
      <c r="B60" s="24" t="s">
        <v>181</v>
      </c>
      <c r="C60" s="25" t="s">
        <v>132</v>
      </c>
      <c r="D60" s="114">
        <f>D56</f>
        <v>0.3009</v>
      </c>
      <c r="E60" s="97"/>
      <c r="F60" s="97"/>
      <c r="G60" s="97"/>
      <c r="H60" s="97"/>
      <c r="I60" s="97"/>
      <c r="J60" s="97"/>
      <c r="K60" s="96"/>
    </row>
    <row r="61" spans="1:11" s="32" customFormat="1" ht="27.6">
      <c r="A61" s="21">
        <f>A56+1</f>
        <v>12</v>
      </c>
      <c r="B61" s="22" t="s">
        <v>184</v>
      </c>
      <c r="C61" s="115" t="s">
        <v>31</v>
      </c>
      <c r="D61" s="109">
        <v>1003</v>
      </c>
      <c r="E61" s="95"/>
      <c r="F61" s="95"/>
      <c r="G61" s="95"/>
      <c r="H61" s="95"/>
      <c r="I61" s="95"/>
      <c r="J61" s="95"/>
      <c r="K61" s="96"/>
    </row>
    <row r="62" spans="1:11" s="32" customFormat="1" ht="13.8">
      <c r="A62" s="27"/>
      <c r="B62" s="24" t="s">
        <v>16</v>
      </c>
      <c r="C62" s="25" t="s">
        <v>31</v>
      </c>
      <c r="D62" s="114">
        <f>D61</f>
        <v>1003</v>
      </c>
      <c r="E62" s="97"/>
      <c r="F62" s="97"/>
      <c r="G62" s="97"/>
      <c r="H62" s="97"/>
      <c r="I62" s="97"/>
      <c r="J62" s="97"/>
      <c r="K62" s="96"/>
    </row>
    <row r="63" spans="1:11" s="32" customFormat="1" ht="13.8">
      <c r="A63" s="27"/>
      <c r="B63" s="24" t="s">
        <v>8</v>
      </c>
      <c r="C63" s="25" t="s">
        <v>21</v>
      </c>
      <c r="D63" s="114">
        <f>D61</f>
        <v>1003</v>
      </c>
      <c r="E63" s="97"/>
      <c r="F63" s="97"/>
      <c r="G63" s="97"/>
      <c r="H63" s="97"/>
      <c r="I63" s="97"/>
      <c r="J63" s="97"/>
      <c r="K63" s="96"/>
    </row>
    <row r="64" spans="1:11" s="32" customFormat="1" ht="13.8">
      <c r="A64" s="27"/>
      <c r="B64" s="24" t="s">
        <v>17</v>
      </c>
      <c r="C64" s="25"/>
      <c r="D64" s="114"/>
      <c r="E64" s="97"/>
      <c r="F64" s="97"/>
      <c r="G64" s="97"/>
      <c r="H64" s="97"/>
      <c r="I64" s="97"/>
      <c r="J64" s="97"/>
      <c r="K64" s="96"/>
    </row>
    <row r="65" spans="1:11" s="32" customFormat="1" ht="13.8">
      <c r="A65" s="27"/>
      <c r="B65" s="24" t="s">
        <v>115</v>
      </c>
      <c r="C65" s="25" t="s">
        <v>132</v>
      </c>
      <c r="D65" s="114">
        <f>97.4*D61/1000</f>
        <v>97.692200000000014</v>
      </c>
      <c r="E65" s="97"/>
      <c r="F65" s="97"/>
      <c r="G65" s="97"/>
      <c r="H65" s="97"/>
      <c r="I65" s="97"/>
      <c r="J65" s="97"/>
      <c r="K65" s="96"/>
    </row>
    <row r="66" spans="1:11" s="32" customFormat="1" ht="13.8">
      <c r="A66" s="45"/>
      <c r="B66" s="46" t="s">
        <v>23</v>
      </c>
      <c r="C66" s="47" t="s">
        <v>21</v>
      </c>
      <c r="D66" s="48">
        <f>D61*0.16</f>
        <v>160.47999999999999</v>
      </c>
      <c r="E66" s="106"/>
      <c r="F66" s="97"/>
      <c r="G66" s="106"/>
      <c r="H66" s="97"/>
      <c r="I66" s="106"/>
      <c r="J66" s="97"/>
      <c r="K66" s="106"/>
    </row>
    <row r="67" spans="1:11" s="32" customFormat="1" ht="27.6">
      <c r="A67" s="21">
        <f>A61+1</f>
        <v>13</v>
      </c>
      <c r="B67" s="22" t="s">
        <v>185</v>
      </c>
      <c r="C67" s="21" t="s">
        <v>100</v>
      </c>
      <c r="D67" s="109">
        <v>220</v>
      </c>
      <c r="E67" s="95"/>
      <c r="F67" s="95"/>
      <c r="G67" s="95"/>
      <c r="H67" s="95"/>
      <c r="I67" s="95"/>
      <c r="J67" s="95"/>
      <c r="K67" s="96"/>
    </row>
    <row r="68" spans="1:11" s="32" customFormat="1" ht="13.8">
      <c r="A68" s="27"/>
      <c r="B68" s="24" t="s">
        <v>16</v>
      </c>
      <c r="C68" s="25" t="s">
        <v>12</v>
      </c>
      <c r="D68" s="114">
        <f>D67</f>
        <v>220</v>
      </c>
      <c r="E68" s="97"/>
      <c r="F68" s="97"/>
      <c r="G68" s="97"/>
      <c r="H68" s="97"/>
      <c r="I68" s="97"/>
      <c r="J68" s="97"/>
      <c r="K68" s="96"/>
    </row>
    <row r="69" spans="1:11" s="32" customFormat="1" ht="13.8">
      <c r="A69" s="27"/>
      <c r="B69" s="24" t="s">
        <v>20</v>
      </c>
      <c r="C69" s="23" t="s">
        <v>21</v>
      </c>
      <c r="D69" s="114">
        <f>D67</f>
        <v>220</v>
      </c>
      <c r="E69" s="97"/>
      <c r="F69" s="97"/>
      <c r="G69" s="97"/>
      <c r="H69" s="97"/>
      <c r="I69" s="97"/>
      <c r="J69" s="97"/>
      <c r="K69" s="96"/>
    </row>
    <row r="70" spans="1:11" s="32" customFormat="1" ht="13.8">
      <c r="A70" s="27"/>
      <c r="B70" s="24" t="s">
        <v>17</v>
      </c>
      <c r="C70" s="23"/>
      <c r="D70" s="114"/>
      <c r="E70" s="97"/>
      <c r="F70" s="97"/>
      <c r="G70" s="97"/>
      <c r="H70" s="97"/>
      <c r="I70" s="97"/>
      <c r="J70" s="97"/>
      <c r="K70" s="96"/>
    </row>
    <row r="71" spans="1:11" s="32" customFormat="1" ht="13.8">
      <c r="A71" s="27"/>
      <c r="B71" s="24" t="s">
        <v>186</v>
      </c>
      <c r="C71" s="25" t="s">
        <v>12</v>
      </c>
      <c r="D71" s="114">
        <f>D67*0.05</f>
        <v>11</v>
      </c>
      <c r="E71" s="97"/>
      <c r="F71" s="97"/>
      <c r="G71" s="97"/>
      <c r="H71" s="97"/>
      <c r="I71" s="97"/>
      <c r="J71" s="97"/>
      <c r="K71" s="96"/>
    </row>
    <row r="72" spans="1:11" s="32" customFormat="1" ht="13.8">
      <c r="A72" s="27"/>
      <c r="B72" s="24" t="s">
        <v>187</v>
      </c>
      <c r="C72" s="25" t="s">
        <v>100</v>
      </c>
      <c r="D72" s="114">
        <f>D67*1.02</f>
        <v>224.4</v>
      </c>
      <c r="E72" s="97"/>
      <c r="F72" s="97"/>
      <c r="G72" s="97"/>
      <c r="H72" s="97"/>
      <c r="I72" s="97"/>
      <c r="J72" s="97"/>
      <c r="K72" s="96"/>
    </row>
    <row r="73" spans="1:11" s="20" customFormat="1" ht="13.8">
      <c r="A73" s="27"/>
      <c r="B73" s="24" t="s">
        <v>23</v>
      </c>
      <c r="C73" s="23" t="s">
        <v>21</v>
      </c>
      <c r="D73" s="114">
        <f>D67</f>
        <v>220</v>
      </c>
      <c r="E73" s="97"/>
      <c r="F73" s="97"/>
      <c r="G73" s="97"/>
      <c r="H73" s="97"/>
      <c r="I73" s="97"/>
      <c r="J73" s="97"/>
      <c r="K73" s="96"/>
    </row>
    <row r="74" spans="1:11" s="29" customFormat="1" ht="46.8">
      <c r="A74" s="21"/>
      <c r="B74" s="116" t="s">
        <v>188</v>
      </c>
      <c r="C74" s="21"/>
      <c r="D74" s="109"/>
      <c r="E74" s="95"/>
      <c r="F74" s="95"/>
      <c r="G74" s="95"/>
      <c r="H74" s="95"/>
      <c r="I74" s="95"/>
      <c r="J74" s="95"/>
      <c r="K74" s="96"/>
    </row>
    <row r="75" spans="1:11" s="29" customFormat="1" ht="27.6">
      <c r="A75" s="21">
        <f>A67+1</f>
        <v>14</v>
      </c>
      <c r="B75" s="22" t="s">
        <v>189</v>
      </c>
      <c r="C75" s="21" t="s">
        <v>12</v>
      </c>
      <c r="D75" s="109">
        <f>224*0.2</f>
        <v>44.800000000000004</v>
      </c>
      <c r="E75" s="95"/>
      <c r="F75" s="95"/>
      <c r="G75" s="95"/>
      <c r="H75" s="95"/>
      <c r="I75" s="95"/>
      <c r="J75" s="95"/>
      <c r="K75" s="96"/>
    </row>
    <row r="76" spans="1:11" s="29" customFormat="1" ht="13.8">
      <c r="A76" s="27"/>
      <c r="B76" s="24" t="s">
        <v>16</v>
      </c>
      <c r="C76" s="25" t="s">
        <v>12</v>
      </c>
      <c r="D76" s="114">
        <f>D75</f>
        <v>44.800000000000004</v>
      </c>
      <c r="E76" s="97"/>
      <c r="F76" s="97"/>
      <c r="G76" s="97"/>
      <c r="H76" s="97"/>
      <c r="I76" s="97"/>
      <c r="J76" s="97"/>
      <c r="K76" s="96"/>
    </row>
    <row r="77" spans="1:11" s="29" customFormat="1" ht="13.8">
      <c r="A77" s="27"/>
      <c r="B77" s="24" t="s">
        <v>8</v>
      </c>
      <c r="C77" s="25" t="s">
        <v>12</v>
      </c>
      <c r="D77" s="114">
        <f>D75</f>
        <v>44.800000000000004</v>
      </c>
      <c r="E77" s="97"/>
      <c r="F77" s="97"/>
      <c r="G77" s="97"/>
      <c r="H77" s="97"/>
      <c r="I77" s="97"/>
      <c r="J77" s="97"/>
      <c r="K77" s="96"/>
    </row>
    <row r="78" spans="1:11" s="29" customFormat="1" ht="13.8">
      <c r="A78" s="27"/>
      <c r="B78" s="24" t="s">
        <v>17</v>
      </c>
      <c r="C78" s="25"/>
      <c r="D78" s="114"/>
      <c r="E78" s="97"/>
      <c r="F78" s="97"/>
      <c r="G78" s="97"/>
      <c r="H78" s="97"/>
      <c r="I78" s="97"/>
      <c r="J78" s="97"/>
      <c r="K78" s="96"/>
    </row>
    <row r="79" spans="1:11" s="20" customFormat="1" ht="13.8">
      <c r="A79" s="27"/>
      <c r="B79" s="24" t="s">
        <v>179</v>
      </c>
      <c r="C79" s="25" t="s">
        <v>12</v>
      </c>
      <c r="D79" s="114">
        <f>D75*1.22</f>
        <v>54.656000000000006</v>
      </c>
      <c r="E79" s="97"/>
      <c r="F79" s="97"/>
      <c r="G79" s="97"/>
      <c r="H79" s="97"/>
      <c r="I79" s="97"/>
      <c r="J79" s="97"/>
      <c r="K79" s="96"/>
    </row>
    <row r="80" spans="1:11" s="20" customFormat="1" ht="27.6">
      <c r="A80" s="21">
        <f>A75+1</f>
        <v>15</v>
      </c>
      <c r="B80" s="22" t="s">
        <v>196</v>
      </c>
      <c r="C80" s="21" t="s">
        <v>12</v>
      </c>
      <c r="D80" s="109">
        <f>224*0.1</f>
        <v>22.400000000000002</v>
      </c>
      <c r="E80" s="95"/>
      <c r="F80" s="95"/>
      <c r="G80" s="95"/>
      <c r="H80" s="95"/>
      <c r="I80" s="95"/>
      <c r="J80" s="95"/>
      <c r="K80" s="96"/>
    </row>
    <row r="81" spans="1:11" s="20" customFormat="1" ht="13.8">
      <c r="A81" s="27"/>
      <c r="B81" s="24" t="s">
        <v>16</v>
      </c>
      <c r="C81" s="25" t="s">
        <v>12</v>
      </c>
      <c r="D81" s="114">
        <f>D80</f>
        <v>22.400000000000002</v>
      </c>
      <c r="E81" s="97"/>
      <c r="F81" s="97"/>
      <c r="G81" s="97"/>
      <c r="H81" s="97"/>
      <c r="I81" s="97"/>
      <c r="J81" s="97"/>
      <c r="K81" s="96"/>
    </row>
    <row r="82" spans="1:11" s="20" customFormat="1" ht="13.8">
      <c r="A82" s="27"/>
      <c r="B82" s="24" t="s">
        <v>8</v>
      </c>
      <c r="C82" s="25" t="s">
        <v>12</v>
      </c>
      <c r="D82" s="114">
        <f>D80</f>
        <v>22.400000000000002</v>
      </c>
      <c r="E82" s="97"/>
      <c r="F82" s="97"/>
      <c r="G82" s="97"/>
      <c r="H82" s="97"/>
      <c r="I82" s="97"/>
      <c r="J82" s="97"/>
      <c r="K82" s="96"/>
    </row>
    <row r="83" spans="1:11" s="20" customFormat="1" ht="13.8">
      <c r="A83" s="27"/>
      <c r="B83" s="24" t="s">
        <v>17</v>
      </c>
      <c r="C83" s="25"/>
      <c r="D83" s="114"/>
      <c r="E83" s="97"/>
      <c r="F83" s="97"/>
      <c r="G83" s="97"/>
      <c r="H83" s="97"/>
      <c r="I83" s="97"/>
      <c r="J83" s="97"/>
      <c r="K83" s="96"/>
    </row>
    <row r="84" spans="1:11" s="20" customFormat="1" ht="13.8">
      <c r="A84" s="27"/>
      <c r="B84" s="24" t="s">
        <v>18</v>
      </c>
      <c r="C84" s="25" t="s">
        <v>12</v>
      </c>
      <c r="D84" s="114">
        <f>D80*1.22</f>
        <v>27.328000000000003</v>
      </c>
      <c r="E84" s="97"/>
      <c r="F84" s="97"/>
      <c r="G84" s="97"/>
      <c r="H84" s="97"/>
      <c r="I84" s="97"/>
      <c r="J84" s="97"/>
      <c r="K84" s="96"/>
    </row>
    <row r="85" spans="1:11" s="20" customFormat="1" ht="13.8">
      <c r="A85" s="21">
        <f>A80+1</f>
        <v>16</v>
      </c>
      <c r="B85" s="22" t="s">
        <v>190</v>
      </c>
      <c r="C85" s="21" t="s">
        <v>12</v>
      </c>
      <c r="D85" s="109">
        <f>224*0.08</f>
        <v>17.920000000000002</v>
      </c>
      <c r="E85" s="95"/>
      <c r="F85" s="95"/>
      <c r="G85" s="95"/>
      <c r="H85" s="95"/>
      <c r="I85" s="95"/>
      <c r="J85" s="95"/>
      <c r="K85" s="96"/>
    </row>
    <row r="86" spans="1:11" s="20" customFormat="1" ht="13.8">
      <c r="A86" s="27"/>
      <c r="B86" s="24" t="s">
        <v>16</v>
      </c>
      <c r="C86" s="25" t="s">
        <v>12</v>
      </c>
      <c r="D86" s="114">
        <f>D85</f>
        <v>17.920000000000002</v>
      </c>
      <c r="E86" s="97"/>
      <c r="F86" s="97"/>
      <c r="G86" s="97"/>
      <c r="H86" s="97"/>
      <c r="I86" s="97"/>
      <c r="J86" s="97"/>
      <c r="K86" s="96"/>
    </row>
    <row r="87" spans="1:11" s="20" customFormat="1" ht="13.8">
      <c r="A87" s="27"/>
      <c r="B87" s="24" t="s">
        <v>8</v>
      </c>
      <c r="C87" s="25" t="s">
        <v>12</v>
      </c>
      <c r="D87" s="114">
        <f>D85</f>
        <v>17.920000000000002</v>
      </c>
      <c r="E87" s="97"/>
      <c r="F87" s="97"/>
      <c r="G87" s="97"/>
      <c r="H87" s="97"/>
      <c r="I87" s="97"/>
      <c r="J87" s="97"/>
      <c r="K87" s="96"/>
    </row>
    <row r="88" spans="1:11" s="20" customFormat="1" ht="13.8">
      <c r="A88" s="27"/>
      <c r="B88" s="24" t="s">
        <v>17</v>
      </c>
      <c r="C88" s="25"/>
      <c r="D88" s="114"/>
      <c r="E88" s="97"/>
      <c r="F88" s="97"/>
      <c r="G88" s="97"/>
      <c r="H88" s="97"/>
      <c r="I88" s="97"/>
      <c r="J88" s="97"/>
      <c r="K88" s="96"/>
    </row>
    <row r="89" spans="1:11" s="20" customFormat="1" ht="13.8">
      <c r="A89" s="27"/>
      <c r="B89" s="24" t="s">
        <v>191</v>
      </c>
      <c r="C89" s="25" t="s">
        <v>12</v>
      </c>
      <c r="D89" s="114">
        <f>D85*1.22</f>
        <v>21.862400000000001</v>
      </c>
      <c r="E89" s="97"/>
      <c r="F89" s="97"/>
      <c r="G89" s="97"/>
      <c r="H89" s="97"/>
      <c r="I89" s="97"/>
      <c r="J89" s="97"/>
      <c r="K89" s="96"/>
    </row>
    <row r="90" spans="1:11" s="20" customFormat="1" ht="27.6">
      <c r="A90" s="21">
        <f>A85+1</f>
        <v>17</v>
      </c>
      <c r="B90" s="22" t="s">
        <v>192</v>
      </c>
      <c r="C90" s="21" t="s">
        <v>31</v>
      </c>
      <c r="D90" s="109">
        <v>224</v>
      </c>
      <c r="E90" s="95"/>
      <c r="F90" s="95"/>
      <c r="G90" s="95"/>
      <c r="H90" s="95"/>
      <c r="I90" s="95"/>
      <c r="J90" s="95"/>
      <c r="K90" s="96"/>
    </row>
    <row r="91" spans="1:11" s="20" customFormat="1" ht="13.8">
      <c r="A91" s="27"/>
      <c r="B91" s="24" t="s">
        <v>57</v>
      </c>
      <c r="C91" s="25" t="str">
        <f>C90</f>
        <v>მ²</v>
      </c>
      <c r="D91" s="114">
        <f>D90</f>
        <v>224</v>
      </c>
      <c r="E91" s="97"/>
      <c r="F91" s="97"/>
      <c r="G91" s="97"/>
      <c r="H91" s="97"/>
      <c r="I91" s="97"/>
      <c r="J91" s="97"/>
      <c r="K91" s="96"/>
    </row>
    <row r="92" spans="1:11" s="20" customFormat="1" ht="13.8">
      <c r="A92" s="27"/>
      <c r="B92" s="24" t="s">
        <v>20</v>
      </c>
      <c r="C92" s="25" t="s">
        <v>21</v>
      </c>
      <c r="D92" s="114">
        <f>D90*0.104</f>
        <v>23.295999999999999</v>
      </c>
      <c r="E92" s="97"/>
      <c r="F92" s="97"/>
      <c r="G92" s="97"/>
      <c r="H92" s="97"/>
      <c r="I92" s="97"/>
      <c r="J92" s="97"/>
      <c r="K92" s="96"/>
    </row>
    <row r="93" spans="1:11" s="20" customFormat="1" ht="13.8">
      <c r="A93" s="27"/>
      <c r="B93" s="24" t="s">
        <v>58</v>
      </c>
      <c r="C93" s="25"/>
      <c r="D93" s="114"/>
      <c r="E93" s="97"/>
      <c r="F93" s="97"/>
      <c r="G93" s="97"/>
      <c r="H93" s="97"/>
      <c r="I93" s="97"/>
      <c r="J93" s="97"/>
      <c r="K93" s="96"/>
    </row>
    <row r="94" spans="1:11" s="20" customFormat="1" ht="27.6">
      <c r="A94" s="27"/>
      <c r="B94" s="24" t="s">
        <v>193</v>
      </c>
      <c r="C94" s="25" t="str">
        <f>C91</f>
        <v>მ²</v>
      </c>
      <c r="D94" s="114">
        <f>D91</f>
        <v>224</v>
      </c>
      <c r="E94" s="97"/>
      <c r="F94" s="97"/>
      <c r="G94" s="97"/>
      <c r="H94" s="97"/>
      <c r="I94" s="97"/>
      <c r="J94" s="97"/>
      <c r="K94" s="96"/>
    </row>
    <row r="95" spans="1:11" s="20" customFormat="1" ht="13.8">
      <c r="A95" s="27"/>
      <c r="B95" s="24" t="s">
        <v>23</v>
      </c>
      <c r="C95" s="25" t="s">
        <v>21</v>
      </c>
      <c r="D95" s="114">
        <f>D90*0.0466</f>
        <v>10.438400000000001</v>
      </c>
      <c r="E95" s="97"/>
      <c r="F95" s="97"/>
      <c r="G95" s="97"/>
      <c r="H95" s="97"/>
      <c r="I95" s="97"/>
      <c r="J95" s="97"/>
      <c r="K95" s="96"/>
    </row>
    <row r="96" spans="1:11" s="20" customFormat="1" ht="31.2">
      <c r="A96" s="21"/>
      <c r="B96" s="116" t="s">
        <v>194</v>
      </c>
      <c r="C96" s="21"/>
      <c r="D96" s="109"/>
      <c r="E96" s="95"/>
      <c r="F96" s="95"/>
      <c r="G96" s="95"/>
      <c r="H96" s="95"/>
      <c r="I96" s="95"/>
      <c r="J96" s="95"/>
      <c r="K96" s="96"/>
    </row>
    <row r="97" spans="1:11" s="29" customFormat="1" ht="27.6">
      <c r="A97" s="21">
        <f>A90+1</f>
        <v>18</v>
      </c>
      <c r="B97" s="22" t="s">
        <v>195</v>
      </c>
      <c r="C97" s="21" t="s">
        <v>12</v>
      </c>
      <c r="D97" s="109">
        <f>162*0.1</f>
        <v>16.2</v>
      </c>
      <c r="E97" s="95"/>
      <c r="F97" s="95"/>
      <c r="G97" s="95"/>
      <c r="H97" s="95"/>
      <c r="I97" s="95"/>
      <c r="J97" s="95"/>
      <c r="K97" s="96"/>
    </row>
    <row r="98" spans="1:11" s="29" customFormat="1" ht="13.8">
      <c r="A98" s="27"/>
      <c r="B98" s="24" t="s">
        <v>16</v>
      </c>
      <c r="C98" s="25" t="s">
        <v>12</v>
      </c>
      <c r="D98" s="114">
        <f>D97</f>
        <v>16.2</v>
      </c>
      <c r="E98" s="97"/>
      <c r="F98" s="97"/>
      <c r="G98" s="97"/>
      <c r="H98" s="97"/>
      <c r="I98" s="97"/>
      <c r="J98" s="97"/>
      <c r="K98" s="96"/>
    </row>
    <row r="99" spans="1:11" s="29" customFormat="1" ht="13.8">
      <c r="A99" s="27"/>
      <c r="B99" s="24" t="s">
        <v>8</v>
      </c>
      <c r="C99" s="25" t="s">
        <v>12</v>
      </c>
      <c r="D99" s="114">
        <f>D97</f>
        <v>16.2</v>
      </c>
      <c r="E99" s="97"/>
      <c r="F99" s="97"/>
      <c r="G99" s="97"/>
      <c r="H99" s="97"/>
      <c r="I99" s="97"/>
      <c r="J99" s="97"/>
      <c r="K99" s="96"/>
    </row>
    <row r="100" spans="1:11" s="29" customFormat="1" ht="13.8">
      <c r="A100" s="27"/>
      <c r="B100" s="24" t="s">
        <v>17</v>
      </c>
      <c r="C100" s="25"/>
      <c r="D100" s="114"/>
      <c r="E100" s="97"/>
      <c r="F100" s="97"/>
      <c r="G100" s="97"/>
      <c r="H100" s="97"/>
      <c r="I100" s="97"/>
      <c r="J100" s="97"/>
      <c r="K100" s="96"/>
    </row>
    <row r="101" spans="1:11" s="29" customFormat="1" ht="13.8">
      <c r="A101" s="27"/>
      <c r="B101" s="24" t="s">
        <v>18</v>
      </c>
      <c r="C101" s="25" t="s">
        <v>12</v>
      </c>
      <c r="D101" s="114">
        <f>D97*1.22</f>
        <v>19.763999999999999</v>
      </c>
      <c r="E101" s="97"/>
      <c r="F101" s="97"/>
      <c r="G101" s="97"/>
      <c r="H101" s="97"/>
      <c r="I101" s="97"/>
      <c r="J101" s="97"/>
      <c r="K101" s="96"/>
    </row>
    <row r="102" spans="1:11" s="29" customFormat="1" ht="27.6">
      <c r="A102" s="21">
        <f>A97+1</f>
        <v>19</v>
      </c>
      <c r="B102" s="22" t="s">
        <v>197</v>
      </c>
      <c r="C102" s="21" t="s">
        <v>12</v>
      </c>
      <c r="D102" s="109">
        <f>162*0.08</f>
        <v>12.96</v>
      </c>
      <c r="E102" s="95"/>
      <c r="F102" s="95"/>
      <c r="G102" s="95"/>
      <c r="H102" s="95"/>
      <c r="I102" s="95"/>
      <c r="J102" s="95"/>
      <c r="K102" s="96"/>
    </row>
    <row r="103" spans="1:11" s="29" customFormat="1" ht="13.8">
      <c r="A103" s="27"/>
      <c r="B103" s="24" t="s">
        <v>16</v>
      </c>
      <c r="C103" s="25" t="s">
        <v>12</v>
      </c>
      <c r="D103" s="114">
        <f>D102</f>
        <v>12.96</v>
      </c>
      <c r="E103" s="97"/>
      <c r="F103" s="97"/>
      <c r="G103" s="97"/>
      <c r="H103" s="97"/>
      <c r="I103" s="97"/>
      <c r="J103" s="97"/>
      <c r="K103" s="96"/>
    </row>
    <row r="104" spans="1:11" s="29" customFormat="1" ht="13.8">
      <c r="A104" s="27"/>
      <c r="B104" s="24" t="s">
        <v>8</v>
      </c>
      <c r="C104" s="25" t="s">
        <v>12</v>
      </c>
      <c r="D104" s="114">
        <f>D102</f>
        <v>12.96</v>
      </c>
      <c r="E104" s="97"/>
      <c r="F104" s="97"/>
      <c r="G104" s="97"/>
      <c r="H104" s="97"/>
      <c r="I104" s="97"/>
      <c r="J104" s="97"/>
      <c r="K104" s="96"/>
    </row>
    <row r="105" spans="1:11" s="29" customFormat="1" ht="13.8">
      <c r="A105" s="27"/>
      <c r="B105" s="24" t="s">
        <v>17</v>
      </c>
      <c r="C105" s="25"/>
      <c r="D105" s="114"/>
      <c r="E105" s="97"/>
      <c r="F105" s="97"/>
      <c r="G105" s="97"/>
      <c r="H105" s="97"/>
      <c r="I105" s="97"/>
      <c r="J105" s="97"/>
      <c r="K105" s="96"/>
    </row>
    <row r="106" spans="1:11" s="29" customFormat="1" ht="13.8">
      <c r="A106" s="27"/>
      <c r="B106" s="24" t="s">
        <v>198</v>
      </c>
      <c r="C106" s="25" t="s">
        <v>12</v>
      </c>
      <c r="D106" s="114">
        <f>D102*1.05</f>
        <v>13.608000000000002</v>
      </c>
      <c r="E106" s="97"/>
      <c r="F106" s="97"/>
      <c r="G106" s="97"/>
      <c r="H106" s="97"/>
      <c r="I106" s="97"/>
      <c r="J106" s="97"/>
      <c r="K106" s="96"/>
    </row>
    <row r="107" spans="1:11" s="29" customFormat="1" ht="13.8">
      <c r="A107" s="21">
        <f>A102+1</f>
        <v>20</v>
      </c>
      <c r="B107" s="22" t="s">
        <v>199</v>
      </c>
      <c r="C107" s="21" t="s">
        <v>31</v>
      </c>
      <c r="D107" s="109">
        <v>162</v>
      </c>
      <c r="E107" s="95"/>
      <c r="F107" s="95"/>
      <c r="G107" s="95"/>
      <c r="H107" s="95"/>
      <c r="I107" s="95"/>
      <c r="J107" s="95"/>
      <c r="K107" s="96"/>
    </row>
    <row r="108" spans="1:11" s="29" customFormat="1" ht="13.8">
      <c r="A108" s="27"/>
      <c r="B108" s="24" t="s">
        <v>57</v>
      </c>
      <c r="C108" s="25" t="str">
        <f>C107</f>
        <v>მ²</v>
      </c>
      <c r="D108" s="114">
        <f>D107</f>
        <v>162</v>
      </c>
      <c r="E108" s="97"/>
      <c r="F108" s="97"/>
      <c r="G108" s="97"/>
      <c r="H108" s="97"/>
      <c r="I108" s="97"/>
      <c r="J108" s="97"/>
      <c r="K108" s="96"/>
    </row>
    <row r="109" spans="1:11" s="29" customFormat="1" ht="13.8">
      <c r="A109" s="27"/>
      <c r="B109" s="24" t="s">
        <v>20</v>
      </c>
      <c r="C109" s="25" t="s">
        <v>21</v>
      </c>
      <c r="D109" s="114">
        <f>D107*0.104</f>
        <v>16.847999999999999</v>
      </c>
      <c r="E109" s="97"/>
      <c r="F109" s="97"/>
      <c r="G109" s="97"/>
      <c r="H109" s="97"/>
      <c r="I109" s="97"/>
      <c r="J109" s="97"/>
      <c r="K109" s="96"/>
    </row>
    <row r="110" spans="1:11" s="20" customFormat="1" ht="13.8">
      <c r="A110" s="27"/>
      <c r="B110" s="24" t="s">
        <v>58</v>
      </c>
      <c r="C110" s="25"/>
      <c r="D110" s="114"/>
      <c r="E110" s="97"/>
      <c r="F110" s="97"/>
      <c r="G110" s="97"/>
      <c r="H110" s="97"/>
      <c r="I110" s="97"/>
      <c r="J110" s="97"/>
      <c r="K110" s="96"/>
    </row>
    <row r="111" spans="1:11" s="29" customFormat="1" ht="27.6">
      <c r="A111" s="27"/>
      <c r="B111" s="24" t="s">
        <v>200</v>
      </c>
      <c r="C111" s="25" t="str">
        <f>C108</f>
        <v>მ²</v>
      </c>
      <c r="D111" s="114">
        <f>D108</f>
        <v>162</v>
      </c>
      <c r="E111" s="97"/>
      <c r="F111" s="97"/>
      <c r="G111" s="97"/>
      <c r="H111" s="97"/>
      <c r="I111" s="97"/>
      <c r="J111" s="97"/>
      <c r="K111" s="96"/>
    </row>
    <row r="112" spans="1:11" s="29" customFormat="1" ht="13.8">
      <c r="A112" s="27"/>
      <c r="B112" s="24" t="s">
        <v>23</v>
      </c>
      <c r="C112" s="25" t="s">
        <v>21</v>
      </c>
      <c r="D112" s="114">
        <f>D107*0.0466</f>
        <v>7.5492000000000008</v>
      </c>
      <c r="E112" s="97"/>
      <c r="F112" s="97"/>
      <c r="G112" s="97"/>
      <c r="H112" s="97"/>
      <c r="I112" s="97"/>
      <c r="J112" s="97"/>
      <c r="K112" s="96"/>
    </row>
    <row r="113" spans="1:11" s="29" customFormat="1" ht="31.2">
      <c r="A113" s="21"/>
      <c r="B113" s="116" t="s">
        <v>201</v>
      </c>
      <c r="C113" s="21"/>
      <c r="D113" s="109"/>
      <c r="E113" s="95"/>
      <c r="F113" s="95"/>
      <c r="G113" s="95"/>
      <c r="H113" s="95"/>
      <c r="I113" s="95"/>
      <c r="J113" s="95"/>
      <c r="K113" s="96"/>
    </row>
    <row r="114" spans="1:11" s="29" customFormat="1" ht="27.6">
      <c r="A114" s="21">
        <f>A107+1</f>
        <v>21</v>
      </c>
      <c r="B114" s="22" t="s">
        <v>195</v>
      </c>
      <c r="C114" s="21" t="s">
        <v>12</v>
      </c>
      <c r="D114" s="109">
        <f>60*0.1</f>
        <v>6</v>
      </c>
      <c r="E114" s="95"/>
      <c r="F114" s="95"/>
      <c r="G114" s="95"/>
      <c r="H114" s="95"/>
      <c r="I114" s="95"/>
      <c r="J114" s="95"/>
      <c r="K114" s="96"/>
    </row>
    <row r="115" spans="1:11" s="29" customFormat="1" ht="13.8">
      <c r="A115" s="27"/>
      <c r="B115" s="24" t="s">
        <v>16</v>
      </c>
      <c r="C115" s="25" t="s">
        <v>12</v>
      </c>
      <c r="D115" s="114">
        <f>D114</f>
        <v>6</v>
      </c>
      <c r="E115" s="97"/>
      <c r="F115" s="97"/>
      <c r="G115" s="97"/>
      <c r="H115" s="97"/>
      <c r="I115" s="97"/>
      <c r="J115" s="97"/>
      <c r="K115" s="96"/>
    </row>
    <row r="116" spans="1:11" s="29" customFormat="1" ht="13.8">
      <c r="A116" s="27"/>
      <c r="B116" s="24" t="s">
        <v>8</v>
      </c>
      <c r="C116" s="25" t="s">
        <v>12</v>
      </c>
      <c r="D116" s="114">
        <f>D114</f>
        <v>6</v>
      </c>
      <c r="E116" s="97"/>
      <c r="F116" s="97"/>
      <c r="G116" s="97"/>
      <c r="H116" s="97"/>
      <c r="I116" s="97"/>
      <c r="J116" s="97"/>
      <c r="K116" s="96"/>
    </row>
    <row r="117" spans="1:11" s="29" customFormat="1" ht="13.8">
      <c r="A117" s="27"/>
      <c r="B117" s="24" t="s">
        <v>17</v>
      </c>
      <c r="C117" s="25"/>
      <c r="D117" s="114"/>
      <c r="E117" s="97"/>
      <c r="F117" s="97"/>
      <c r="G117" s="97"/>
      <c r="H117" s="97"/>
      <c r="I117" s="97"/>
      <c r="J117" s="97"/>
      <c r="K117" s="96"/>
    </row>
    <row r="118" spans="1:11" s="29" customFormat="1" ht="13.8">
      <c r="A118" s="27"/>
      <c r="B118" s="24" t="s">
        <v>18</v>
      </c>
      <c r="C118" s="25" t="s">
        <v>12</v>
      </c>
      <c r="D118" s="114">
        <f>D114*1.22</f>
        <v>7.32</v>
      </c>
      <c r="E118" s="97"/>
      <c r="F118" s="97"/>
      <c r="G118" s="97"/>
      <c r="H118" s="97"/>
      <c r="I118" s="97"/>
      <c r="J118" s="97"/>
      <c r="K118" s="96"/>
    </row>
    <row r="119" spans="1:11" s="29" customFormat="1" ht="27.6">
      <c r="A119" s="21">
        <f>A114+1</f>
        <v>22</v>
      </c>
      <c r="B119" s="22" t="s">
        <v>197</v>
      </c>
      <c r="C119" s="21" t="s">
        <v>12</v>
      </c>
      <c r="D119" s="109">
        <f>60*0.08</f>
        <v>4.8</v>
      </c>
      <c r="E119" s="95"/>
      <c r="F119" s="95"/>
      <c r="G119" s="95"/>
      <c r="H119" s="95"/>
      <c r="I119" s="95"/>
      <c r="J119" s="95"/>
      <c r="K119" s="96"/>
    </row>
    <row r="120" spans="1:11" s="29" customFormat="1" ht="13.8">
      <c r="A120" s="27"/>
      <c r="B120" s="24" t="s">
        <v>16</v>
      </c>
      <c r="C120" s="25" t="s">
        <v>12</v>
      </c>
      <c r="D120" s="114">
        <f>D119</f>
        <v>4.8</v>
      </c>
      <c r="E120" s="97"/>
      <c r="F120" s="97"/>
      <c r="G120" s="97"/>
      <c r="H120" s="97"/>
      <c r="I120" s="97"/>
      <c r="J120" s="97"/>
      <c r="K120" s="96"/>
    </row>
    <row r="121" spans="1:11" s="29" customFormat="1" ht="13.8">
      <c r="A121" s="27"/>
      <c r="B121" s="24" t="s">
        <v>8</v>
      </c>
      <c r="C121" s="25" t="s">
        <v>12</v>
      </c>
      <c r="D121" s="114">
        <f>D119</f>
        <v>4.8</v>
      </c>
      <c r="E121" s="97"/>
      <c r="F121" s="97"/>
      <c r="G121" s="97"/>
      <c r="H121" s="97"/>
      <c r="I121" s="97"/>
      <c r="J121" s="97"/>
      <c r="K121" s="96"/>
    </row>
    <row r="122" spans="1:11" s="20" customFormat="1" ht="13.8">
      <c r="A122" s="27"/>
      <c r="B122" s="24" t="s">
        <v>17</v>
      </c>
      <c r="C122" s="25"/>
      <c r="D122" s="114"/>
      <c r="E122" s="97"/>
      <c r="F122" s="97"/>
      <c r="G122" s="97"/>
      <c r="H122" s="97"/>
      <c r="I122" s="97"/>
      <c r="J122" s="97"/>
      <c r="K122" s="96"/>
    </row>
    <row r="123" spans="1:11" s="29" customFormat="1" ht="13.8">
      <c r="A123" s="27"/>
      <c r="B123" s="24" t="s">
        <v>198</v>
      </c>
      <c r="C123" s="25" t="s">
        <v>12</v>
      </c>
      <c r="D123" s="114">
        <f>D119*1.05</f>
        <v>5.04</v>
      </c>
      <c r="E123" s="97"/>
      <c r="F123" s="97"/>
      <c r="G123" s="97"/>
      <c r="H123" s="97"/>
      <c r="I123" s="97"/>
      <c r="J123" s="97"/>
      <c r="K123" s="96"/>
    </row>
    <row r="124" spans="1:11" s="29" customFormat="1" ht="27.6">
      <c r="A124" s="21">
        <f>A119+1</f>
        <v>23</v>
      </c>
      <c r="B124" s="22" t="s">
        <v>192</v>
      </c>
      <c r="C124" s="21" t="s">
        <v>31</v>
      </c>
      <c r="D124" s="109">
        <v>60</v>
      </c>
      <c r="E124" s="95"/>
      <c r="F124" s="95"/>
      <c r="G124" s="95"/>
      <c r="H124" s="95"/>
      <c r="I124" s="95"/>
      <c r="J124" s="95"/>
      <c r="K124" s="96"/>
    </row>
    <row r="125" spans="1:11">
      <c r="A125" s="27"/>
      <c r="B125" s="24" t="s">
        <v>57</v>
      </c>
      <c r="C125" s="25" t="str">
        <f>C124</f>
        <v>მ²</v>
      </c>
      <c r="D125" s="114">
        <f>D124</f>
        <v>60</v>
      </c>
      <c r="E125" s="97"/>
      <c r="F125" s="97"/>
      <c r="G125" s="97"/>
      <c r="H125" s="97"/>
      <c r="I125" s="97"/>
      <c r="J125" s="97"/>
      <c r="K125" s="96"/>
    </row>
    <row r="126" spans="1:11">
      <c r="A126" s="27"/>
      <c r="B126" s="24" t="s">
        <v>20</v>
      </c>
      <c r="C126" s="25" t="s">
        <v>21</v>
      </c>
      <c r="D126" s="114">
        <f>D124*0.104</f>
        <v>6.2399999999999993</v>
      </c>
      <c r="E126" s="97"/>
      <c r="F126" s="97"/>
      <c r="G126" s="97"/>
      <c r="H126" s="97"/>
      <c r="I126" s="97"/>
      <c r="J126" s="97"/>
      <c r="K126" s="96"/>
    </row>
    <row r="127" spans="1:11">
      <c r="A127" s="27"/>
      <c r="B127" s="24" t="s">
        <v>58</v>
      </c>
      <c r="C127" s="25"/>
      <c r="D127" s="114"/>
      <c r="E127" s="97"/>
      <c r="F127" s="97"/>
      <c r="G127" s="97"/>
      <c r="H127" s="97"/>
      <c r="I127" s="97"/>
      <c r="J127" s="97"/>
      <c r="K127" s="96"/>
    </row>
    <row r="128" spans="1:11" ht="27.6">
      <c r="A128" s="27"/>
      <c r="B128" s="24" t="s">
        <v>202</v>
      </c>
      <c r="C128" s="25" t="str">
        <f>C125</f>
        <v>მ²</v>
      </c>
      <c r="D128" s="114">
        <f>D125</f>
        <v>60</v>
      </c>
      <c r="E128" s="97"/>
      <c r="F128" s="97"/>
      <c r="G128" s="97"/>
      <c r="H128" s="97"/>
      <c r="I128" s="97"/>
      <c r="J128" s="97"/>
      <c r="K128" s="96"/>
    </row>
    <row r="129" spans="1:11">
      <c r="A129" s="27"/>
      <c r="B129" s="24" t="s">
        <v>23</v>
      </c>
      <c r="C129" s="25" t="s">
        <v>21</v>
      </c>
      <c r="D129" s="114">
        <f>D124*0.0466</f>
        <v>2.7960000000000003</v>
      </c>
      <c r="E129" s="97"/>
      <c r="F129" s="97"/>
      <c r="G129" s="97"/>
      <c r="H129" s="97"/>
      <c r="I129" s="97"/>
      <c r="J129" s="97"/>
      <c r="K129" s="96"/>
    </row>
    <row r="130" spans="1:11" ht="27.6">
      <c r="A130" s="27">
        <f>A124+1</f>
        <v>24</v>
      </c>
      <c r="B130" s="22" t="s">
        <v>225</v>
      </c>
      <c r="C130" s="21" t="s">
        <v>226</v>
      </c>
      <c r="D130" s="26">
        <v>10</v>
      </c>
      <c r="E130" s="102"/>
      <c r="F130" s="102"/>
      <c r="G130" s="102"/>
      <c r="H130" s="102"/>
      <c r="I130" s="102"/>
      <c r="J130" s="97"/>
      <c r="K130" s="103"/>
    </row>
    <row r="131" spans="1:11">
      <c r="A131" s="27">
        <f>A130+1</f>
        <v>25</v>
      </c>
      <c r="B131" s="41" t="s">
        <v>35</v>
      </c>
      <c r="C131" s="21" t="s">
        <v>227</v>
      </c>
      <c r="D131" s="117">
        <v>120</v>
      </c>
      <c r="E131" s="102"/>
      <c r="F131" s="102"/>
      <c r="G131" s="102"/>
      <c r="H131" s="102"/>
      <c r="I131" s="102"/>
      <c r="J131" s="97"/>
      <c r="K131" s="103"/>
    </row>
    <row r="132" spans="1:11">
      <c r="A132" s="56"/>
      <c r="B132" s="57" t="s">
        <v>37</v>
      </c>
      <c r="C132" s="58"/>
      <c r="D132" s="50"/>
      <c r="E132" s="107"/>
      <c r="F132" s="107">
        <f>SUM(F13:F129)</f>
        <v>0</v>
      </c>
      <c r="G132" s="107"/>
      <c r="H132" s="107">
        <f>SUM(H13:H129)</f>
        <v>0</v>
      </c>
      <c r="I132" s="107"/>
      <c r="J132" s="107">
        <f>SUM(J13:J129)</f>
        <v>0</v>
      </c>
      <c r="K132" s="107">
        <f>SUM(K13:K129)</f>
        <v>0</v>
      </c>
    </row>
    <row r="133" spans="1:11">
      <c r="A133" s="56"/>
      <c r="B133" s="57" t="s">
        <v>121</v>
      </c>
      <c r="C133" s="64"/>
      <c r="D133" s="50"/>
      <c r="E133" s="107"/>
      <c r="F133" s="107"/>
      <c r="G133" s="107"/>
      <c r="H133" s="107"/>
      <c r="I133" s="107"/>
      <c r="J133" s="107"/>
      <c r="K133" s="107">
        <f>K132*C133</f>
        <v>0</v>
      </c>
    </row>
    <row r="134" spans="1:11">
      <c r="A134" s="56"/>
      <c r="B134" s="57" t="s">
        <v>37</v>
      </c>
      <c r="C134" s="58"/>
      <c r="D134" s="50"/>
      <c r="E134" s="107"/>
      <c r="F134" s="107"/>
      <c r="G134" s="107"/>
      <c r="H134" s="107"/>
      <c r="I134" s="107"/>
      <c r="J134" s="107"/>
      <c r="K134" s="107">
        <f>SUM(K132:K133)</f>
        <v>0</v>
      </c>
    </row>
    <row r="135" spans="1:11">
      <c r="A135" s="56"/>
      <c r="B135" s="57" t="s">
        <v>38</v>
      </c>
      <c r="C135" s="60"/>
      <c r="D135" s="50"/>
      <c r="E135" s="107"/>
      <c r="F135" s="107"/>
      <c r="G135" s="107"/>
      <c r="H135" s="107"/>
      <c r="I135" s="107"/>
      <c r="J135" s="107"/>
      <c r="K135" s="107">
        <f>K134*C135</f>
        <v>0</v>
      </c>
    </row>
    <row r="136" spans="1:11">
      <c r="A136" s="56"/>
      <c r="B136" s="44" t="s">
        <v>37</v>
      </c>
      <c r="C136" s="61"/>
      <c r="D136" s="50"/>
      <c r="E136" s="107"/>
      <c r="F136" s="107"/>
      <c r="G136" s="107"/>
      <c r="H136" s="107"/>
      <c r="I136" s="107"/>
      <c r="J136" s="107"/>
      <c r="K136" s="107">
        <f>SUM(K134:K135)</f>
        <v>0</v>
      </c>
    </row>
    <row r="137" spans="1:11">
      <c r="A137" s="56"/>
      <c r="B137" s="44" t="s">
        <v>39</v>
      </c>
      <c r="C137" s="62"/>
      <c r="D137" s="50"/>
      <c r="E137" s="107"/>
      <c r="F137" s="107"/>
      <c r="G137" s="107"/>
      <c r="H137" s="107"/>
      <c r="I137" s="107"/>
      <c r="J137" s="107"/>
      <c r="K137" s="107">
        <f>K136*C137</f>
        <v>0</v>
      </c>
    </row>
    <row r="138" spans="1:11">
      <c r="A138" s="56"/>
      <c r="B138" s="44" t="s">
        <v>37</v>
      </c>
      <c r="C138" s="61"/>
      <c r="D138" s="50"/>
      <c r="E138" s="107"/>
      <c r="F138" s="107"/>
      <c r="G138" s="107"/>
      <c r="H138" s="107"/>
      <c r="I138" s="107"/>
      <c r="J138" s="107"/>
      <c r="K138" s="107">
        <f>SUM(K136:K137)</f>
        <v>0</v>
      </c>
    </row>
    <row r="139" spans="1:11">
      <c r="A139" s="56"/>
      <c r="B139" s="44" t="s">
        <v>40</v>
      </c>
      <c r="C139" s="63"/>
      <c r="D139" s="50"/>
      <c r="E139" s="107"/>
      <c r="F139" s="107"/>
      <c r="G139" s="107"/>
      <c r="H139" s="107"/>
      <c r="I139" s="107"/>
      <c r="J139" s="107"/>
      <c r="K139" s="107">
        <f>K138*C139</f>
        <v>0</v>
      </c>
    </row>
    <row r="140" spans="1:11">
      <c r="A140" s="56"/>
      <c r="B140" s="44" t="s">
        <v>37</v>
      </c>
      <c r="C140" s="61"/>
      <c r="D140" s="50"/>
      <c r="E140" s="107"/>
      <c r="F140" s="107"/>
      <c r="G140" s="107"/>
      <c r="H140" s="107"/>
      <c r="I140" s="107"/>
      <c r="J140" s="107"/>
      <c r="K140" s="107">
        <f>SUM(K138:K139)</f>
        <v>0</v>
      </c>
    </row>
    <row r="141" spans="1:11">
      <c r="A141" s="56"/>
      <c r="B141" s="44" t="s">
        <v>41</v>
      </c>
      <c r="C141" s="64"/>
      <c r="D141" s="50"/>
      <c r="E141" s="107"/>
      <c r="F141" s="107"/>
      <c r="G141" s="107"/>
      <c r="H141" s="107"/>
      <c r="I141" s="107"/>
      <c r="J141" s="107"/>
      <c r="K141" s="107">
        <f>K140*C141</f>
        <v>0</v>
      </c>
    </row>
    <row r="142" spans="1:11">
      <c r="A142" s="56"/>
      <c r="B142" s="44" t="s">
        <v>37</v>
      </c>
      <c r="C142" s="61"/>
      <c r="D142" s="50"/>
      <c r="E142" s="107"/>
      <c r="F142" s="107"/>
      <c r="G142" s="107"/>
      <c r="H142" s="107"/>
      <c r="I142" s="107"/>
      <c r="J142" s="107"/>
      <c r="K142" s="107">
        <f>SUM(K140:K141)</f>
        <v>0</v>
      </c>
    </row>
    <row r="144" spans="1:11">
      <c r="K144" s="94"/>
    </row>
    <row r="146" spans="8:11">
      <c r="H146" s="66"/>
    </row>
    <row r="147" spans="8:11">
      <c r="H147" s="66"/>
    </row>
    <row r="149" spans="8:11">
      <c r="K149" s="66"/>
    </row>
    <row r="150" spans="8:11">
      <c r="H150" s="66"/>
    </row>
  </sheetData>
  <mergeCells count="19">
    <mergeCell ref="A8:A11"/>
    <mergeCell ref="B8:B11"/>
    <mergeCell ref="C8:C11"/>
    <mergeCell ref="D8:D11"/>
    <mergeCell ref="E8:F9"/>
    <mergeCell ref="A1:K2"/>
    <mergeCell ref="A3:K3"/>
    <mergeCell ref="A4:K4"/>
    <mergeCell ref="G6:I6"/>
    <mergeCell ref="J6:K6"/>
    <mergeCell ref="G8:H9"/>
    <mergeCell ref="I8:J9"/>
    <mergeCell ref="K8:K11"/>
    <mergeCell ref="E10:E11"/>
    <mergeCell ref="F10:F11"/>
    <mergeCell ref="G10:G11"/>
    <mergeCell ref="H10:H11"/>
    <mergeCell ref="I10:I11"/>
    <mergeCell ref="J10:J11"/>
  </mergeCells>
  <pageMargins left="2.5000000000000001E-2" right="1.6666666666666666E-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ჯამური</vt:lpstr>
      <vt:lpstr>მოსამზ.</vt:lpstr>
      <vt:lpstr>დემონტაჟი</vt:lpstr>
      <vt:lpstr>კონსტრუქცია</vt:lpstr>
      <vt:lpstr>არქიტექტურა</vt:lpstr>
      <vt:lpstr>გარე ტერიტორია</vt:lpstr>
      <vt:lpstr>მოსამზ.!Print_Area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EC-PC</dc:creator>
  <cp:lastModifiedBy>User</cp:lastModifiedBy>
  <dcterms:created xsi:type="dcterms:W3CDTF">2015-06-05T18:17:20Z</dcterms:created>
  <dcterms:modified xsi:type="dcterms:W3CDTF">2023-02-17T13:33:58Z</dcterms:modified>
</cp:coreProperties>
</file>